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ntapnovcifs\projects\LADCO_O3_Controls\work\Task2_Controls\screening\"/>
    </mc:Choice>
  </mc:AlternateContent>
  <xr:revisionPtr revIDLastSave="0" documentId="13_ncr:1_{5FAFCDB8-0B55-4DD5-8486-0DE6C23BBFCB}" xr6:coauthVersionLast="45" xr6:coauthVersionMax="45" xr10:uidLastSave="{00000000-0000-0000-0000-000000000000}"/>
  <bookViews>
    <workbookView xWindow="-104" yWindow="-104" windowWidth="29699" windowHeight="12050" tabRatio="833" xr2:uid="{60C9951A-FC74-40A2-83D6-83043E4BFD4E}"/>
  </bookViews>
  <sheets>
    <sheet name="README" sheetId="9" r:id="rId1"/>
    <sheet name="Mobile_options" sheetId="8" r:id="rId2"/>
    <sheet name="Mobile_state_reductions" sheetId="7" r:id="rId3"/>
    <sheet name="Nonpoint_options" sheetId="4" r:id="rId4"/>
    <sheet name="Nonpoint_state_reductions" sheetId="5" r:id="rId5"/>
    <sheet name="Point_options" sheetId="1" r:id="rId6"/>
    <sheet name="Point_state_reductions" sheetId="2" r:id="rId7"/>
    <sheet name="EmissRed_Shortlist" sheetId="11" r:id="rId8"/>
    <sheet name="C-E_Shortlist" sheetId="12" r:id="rId9"/>
    <sheet name="Shortlist_xref" sheetId="10" r:id="rId10"/>
  </sheets>
  <definedNames>
    <definedName name="_xlnm._FilterDatabase" localSheetId="8" hidden="1">'C-E_Shortlist'!$A$7:$U$87</definedName>
    <definedName name="_xlnm._FilterDatabase" localSheetId="7" hidden="1">EmissRed_Shortlist!$A$7:$V$87</definedName>
    <definedName name="_xlnm._FilterDatabase" localSheetId="1" hidden="1">Mobile_options!$A$1:$L$114</definedName>
    <definedName name="_xlnm._FilterDatabase" localSheetId="2" hidden="1">Mobile_state_reductions!$A$2:$BB$116</definedName>
    <definedName name="_xlnm._FilterDatabase" localSheetId="3" hidden="1">Nonpoint_options!$A$1:$P$106</definedName>
    <definedName name="_xlnm._FilterDatabase" localSheetId="4" hidden="1">Nonpoint_state_reductions!$A$2:$BB$111</definedName>
    <definedName name="_xlnm._FilterDatabase" localSheetId="5" hidden="1">Point_options!$A$1:$L$120</definedName>
    <definedName name="_xlnm._FilterDatabase" localSheetId="6" hidden="1">Point_state_reductions!$A$2:$X$2</definedName>
    <definedName name="_xlnm._FilterDatabase" localSheetId="9" hidden="1">Shortlist_xref!$A$3:$C$77</definedName>
    <definedName name="_ftnref5" localSheetId="2">Mobile_state_reductions!#REF!</definedName>
    <definedName name="_ftnref5" localSheetId="4">Nonpoint_state_reductions!#REF!</definedName>
    <definedName name="_ftnref5" localSheetId="6">Point_state_reductions!#REF!</definedName>
    <definedName name="_ftnref6" localSheetId="2">Mobile_state_reductions!#REF!</definedName>
    <definedName name="_ftnref6" localSheetId="4">Nonpoint_state_reductions!#REF!</definedName>
    <definedName name="_ftnref6" localSheetId="6">Point_state_reductions!#REF!</definedName>
    <definedName name="_ftnref7" localSheetId="2">Mobile_state_reductions!#REF!</definedName>
    <definedName name="_ftnref7" localSheetId="4">Nonpoint_state_reductions!#REF!</definedName>
    <definedName name="_ftnref7" localSheetId="6">Point_state_reductions!#REF!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34" i="11" l="1"/>
  <c r="Y73" i="12"/>
  <c r="H73" i="12" s="1"/>
  <c r="Z73" i="12"/>
  <c r="C73" i="12"/>
  <c r="W34" i="11"/>
  <c r="B73" i="12" s="1"/>
  <c r="K73" i="12" l="1"/>
  <c r="J73" i="12"/>
  <c r="L73" i="12"/>
  <c r="I73" i="12"/>
  <c r="H34" i="11" l="1"/>
  <c r="I34" i="11"/>
  <c r="J34" i="11"/>
  <c r="K34" i="11"/>
  <c r="L34" i="11"/>
  <c r="C34" i="11"/>
  <c r="Z9" i="12" l="1"/>
  <c r="Z10" i="12"/>
  <c r="Z11" i="12"/>
  <c r="A44" i="11" s="1"/>
  <c r="Z12" i="12"/>
  <c r="Z13" i="12"/>
  <c r="Z14" i="12"/>
  <c r="A50" i="11" s="1"/>
  <c r="Z15" i="12"/>
  <c r="A74" i="11" s="1"/>
  <c r="Z16" i="12"/>
  <c r="A53" i="11" s="1"/>
  <c r="Z17" i="12"/>
  <c r="A63" i="11" s="1"/>
  <c r="Z18" i="12"/>
  <c r="A64" i="11" s="1"/>
  <c r="Z19" i="12"/>
  <c r="A85" i="11" s="1"/>
  <c r="Z20" i="12"/>
  <c r="A83" i="11" s="1"/>
  <c r="Z21" i="12"/>
  <c r="A70" i="11" s="1"/>
  <c r="Z22" i="12"/>
  <c r="A80" i="11" s="1"/>
  <c r="Z23" i="12"/>
  <c r="A84" i="11" s="1"/>
  <c r="Z24" i="12"/>
  <c r="A56" i="11" s="1"/>
  <c r="Z25" i="12"/>
  <c r="A75" i="11" s="1"/>
  <c r="Z26" i="12"/>
  <c r="A60" i="11" s="1"/>
  <c r="Z27" i="12"/>
  <c r="A29" i="11" s="1"/>
  <c r="Z28" i="12"/>
  <c r="A41" i="11" s="1"/>
  <c r="Z29" i="12"/>
  <c r="A76" i="11" s="1"/>
  <c r="Z30" i="12"/>
  <c r="A58" i="11" s="1"/>
  <c r="Z31" i="12"/>
  <c r="A62" i="11" s="1"/>
  <c r="Z32" i="12"/>
  <c r="A54" i="11" s="1"/>
  <c r="Z33" i="12"/>
  <c r="A38" i="11" s="1"/>
  <c r="Z34" i="12"/>
  <c r="A37" i="11" s="1"/>
  <c r="Z35" i="12"/>
  <c r="A22" i="11" s="1"/>
  <c r="Z36" i="12"/>
  <c r="A15" i="11" s="1"/>
  <c r="Z37" i="12"/>
  <c r="Z38" i="12"/>
  <c r="Z39" i="12"/>
  <c r="Z40" i="12"/>
  <c r="Z41" i="12"/>
  <c r="A30" i="11" s="1"/>
  <c r="Z42" i="12"/>
  <c r="A52" i="11" s="1"/>
  <c r="Z43" i="12"/>
  <c r="A68" i="11" s="1"/>
  <c r="Z44" i="12"/>
  <c r="A79" i="11" s="1"/>
  <c r="Z45" i="12"/>
  <c r="A9" i="11" s="1"/>
  <c r="Z46" i="12"/>
  <c r="A55" i="11" s="1"/>
  <c r="Z47" i="12"/>
  <c r="A8" i="11" s="1"/>
  <c r="Z48" i="12"/>
  <c r="A21" i="11" s="1"/>
  <c r="Z49" i="12"/>
  <c r="A45" i="11" s="1"/>
  <c r="Z50" i="12"/>
  <c r="A46" i="11" s="1"/>
  <c r="Z51" i="12"/>
  <c r="A65" i="11" s="1"/>
  <c r="Z52" i="12"/>
  <c r="A17" i="11" s="1"/>
  <c r="Z53" i="12"/>
  <c r="A16" i="11" s="1"/>
  <c r="Z54" i="12"/>
  <c r="A31" i="11" s="1"/>
  <c r="Z55" i="12"/>
  <c r="A33" i="11" s="1"/>
  <c r="Z56" i="12"/>
  <c r="A32" i="11" s="1"/>
  <c r="Z57" i="12"/>
  <c r="Z58" i="12"/>
  <c r="Z59" i="12"/>
  <c r="A42" i="11" s="1"/>
  <c r="Z60" i="12"/>
  <c r="A28" i="11" s="1"/>
  <c r="Z61" i="12"/>
  <c r="A36" i="11" s="1"/>
  <c r="Z62" i="12"/>
  <c r="Z63" i="12"/>
  <c r="Z64" i="12"/>
  <c r="Z65" i="12"/>
  <c r="A24" i="11" s="1"/>
  <c r="Z66" i="12"/>
  <c r="A20" i="11" s="1"/>
  <c r="Z67" i="12"/>
  <c r="Z68" i="12"/>
  <c r="Z69" i="12"/>
  <c r="Z70" i="12"/>
  <c r="A35" i="11" s="1"/>
  <c r="Z71" i="12"/>
  <c r="A26" i="11" s="1"/>
  <c r="Z72" i="12"/>
  <c r="A39" i="11" s="1"/>
  <c r="Z74" i="12"/>
  <c r="A23" i="11" s="1"/>
  <c r="Z75" i="12"/>
  <c r="A18" i="11" s="1"/>
  <c r="Z76" i="12"/>
  <c r="Z77" i="12"/>
  <c r="Z78" i="12"/>
  <c r="Z79" i="12"/>
  <c r="Z80" i="12"/>
  <c r="A27" i="11" s="1"/>
  <c r="Z81" i="12"/>
  <c r="A25" i="11" s="1"/>
  <c r="Z82" i="12"/>
  <c r="A10" i="11" s="1"/>
  <c r="Z83" i="12"/>
  <c r="A19" i="11" s="1"/>
  <c r="Z84" i="12"/>
  <c r="Z85" i="12"/>
  <c r="Z86" i="12"/>
  <c r="Z87" i="12"/>
  <c r="Z8" i="12"/>
  <c r="A40" i="11" s="1"/>
  <c r="T65" i="12"/>
  <c r="C9" i="12"/>
  <c r="C10" i="12"/>
  <c r="C11" i="12"/>
  <c r="C12" i="12"/>
  <c r="C13" i="12"/>
  <c r="C14" i="12"/>
  <c r="C15" i="12"/>
  <c r="C16" i="12"/>
  <c r="C17" i="12"/>
  <c r="C18" i="12"/>
  <c r="C19" i="12"/>
  <c r="C20" i="12"/>
  <c r="C21" i="12"/>
  <c r="C22" i="12"/>
  <c r="C23" i="12"/>
  <c r="C24" i="12"/>
  <c r="C25" i="12"/>
  <c r="C26" i="12"/>
  <c r="C27" i="12"/>
  <c r="C28" i="12"/>
  <c r="C29" i="12"/>
  <c r="C30" i="12"/>
  <c r="C31" i="12"/>
  <c r="C32" i="12"/>
  <c r="C33" i="12"/>
  <c r="C34" i="12"/>
  <c r="C35" i="12"/>
  <c r="C36" i="12"/>
  <c r="C37" i="12"/>
  <c r="C38" i="12"/>
  <c r="C39" i="12"/>
  <c r="C40" i="12"/>
  <c r="C41" i="12"/>
  <c r="C42" i="12"/>
  <c r="C43" i="12"/>
  <c r="C44" i="12"/>
  <c r="C45" i="12"/>
  <c r="C46" i="12"/>
  <c r="C47" i="12"/>
  <c r="C48" i="12"/>
  <c r="C49" i="12"/>
  <c r="C50" i="12"/>
  <c r="C51" i="12"/>
  <c r="C52" i="12"/>
  <c r="C53" i="12"/>
  <c r="C54" i="12"/>
  <c r="C55" i="12"/>
  <c r="C56" i="12"/>
  <c r="C57" i="12"/>
  <c r="C58" i="12"/>
  <c r="C59" i="12"/>
  <c r="C60" i="12"/>
  <c r="C61" i="12"/>
  <c r="C62" i="12"/>
  <c r="C63" i="12"/>
  <c r="C64" i="12"/>
  <c r="C65" i="12"/>
  <c r="C66" i="12"/>
  <c r="C67" i="12"/>
  <c r="C68" i="12"/>
  <c r="C69" i="12"/>
  <c r="C70" i="12"/>
  <c r="C71" i="12"/>
  <c r="C72" i="12"/>
  <c r="C74" i="12"/>
  <c r="C75" i="12"/>
  <c r="C76" i="12"/>
  <c r="C77" i="12"/>
  <c r="C78" i="12"/>
  <c r="C79" i="12"/>
  <c r="C80" i="12"/>
  <c r="C81" i="12"/>
  <c r="C82" i="12"/>
  <c r="C83" i="12"/>
  <c r="C84" i="12"/>
  <c r="C85" i="12"/>
  <c r="C86" i="12"/>
  <c r="C87" i="12"/>
  <c r="C8" i="12"/>
  <c r="W9" i="11"/>
  <c r="B45" i="12" s="1"/>
  <c r="W10" i="11"/>
  <c r="B82" i="12" s="1"/>
  <c r="W11" i="11"/>
  <c r="B87" i="12" s="1"/>
  <c r="W12" i="11"/>
  <c r="B84" i="12" s="1"/>
  <c r="W13" i="11"/>
  <c r="W14" i="11"/>
  <c r="W15" i="11"/>
  <c r="B36" i="12" s="1"/>
  <c r="W16" i="11"/>
  <c r="B53" i="12" s="1"/>
  <c r="W17" i="11"/>
  <c r="B52" i="12" s="1"/>
  <c r="W18" i="11"/>
  <c r="B75" i="12" s="1"/>
  <c r="W19" i="11"/>
  <c r="B83" i="12" s="1"/>
  <c r="W20" i="11"/>
  <c r="B66" i="12" s="1"/>
  <c r="W21" i="11"/>
  <c r="B48" i="12" s="1"/>
  <c r="W22" i="11"/>
  <c r="B35" i="12" s="1"/>
  <c r="W23" i="11"/>
  <c r="B74" i="12" s="1"/>
  <c r="W24" i="11"/>
  <c r="B65" i="12" s="1"/>
  <c r="W25" i="11"/>
  <c r="B81" i="12" s="1"/>
  <c r="W26" i="11"/>
  <c r="B71" i="12" s="1"/>
  <c r="W27" i="11"/>
  <c r="B80" i="12" s="1"/>
  <c r="W28" i="11"/>
  <c r="B60" i="12" s="1"/>
  <c r="W29" i="11"/>
  <c r="B27" i="12" s="1"/>
  <c r="W30" i="11"/>
  <c r="B41" i="12" s="1"/>
  <c r="W31" i="11"/>
  <c r="B54" i="12" s="1"/>
  <c r="W32" i="11"/>
  <c r="B56" i="12" s="1"/>
  <c r="W33" i="11"/>
  <c r="B55" i="12" s="1"/>
  <c r="W35" i="11"/>
  <c r="B70" i="12" s="1"/>
  <c r="W36" i="11"/>
  <c r="B61" i="12" s="1"/>
  <c r="W37" i="11"/>
  <c r="B34" i="12" s="1"/>
  <c r="W38" i="11"/>
  <c r="B33" i="12" s="1"/>
  <c r="W39" i="11"/>
  <c r="B72" i="12" s="1"/>
  <c r="W40" i="11"/>
  <c r="B8" i="12" s="1"/>
  <c r="W41" i="11"/>
  <c r="B28" i="12" s="1"/>
  <c r="W42" i="11"/>
  <c r="B59" i="12" s="1"/>
  <c r="W43" i="11"/>
  <c r="B13" i="12" s="1"/>
  <c r="W44" i="11"/>
  <c r="B11" i="12" s="1"/>
  <c r="W45" i="11"/>
  <c r="B49" i="12" s="1"/>
  <c r="W46" i="11"/>
  <c r="B50" i="12" s="1"/>
  <c r="W47" i="11"/>
  <c r="B63" i="12" s="1"/>
  <c r="W48" i="11"/>
  <c r="W49" i="11"/>
  <c r="B57" i="12" s="1"/>
  <c r="W50" i="11"/>
  <c r="B14" i="12" s="1"/>
  <c r="W51" i="11"/>
  <c r="W52" i="11"/>
  <c r="B42" i="12" s="1"/>
  <c r="W53" i="11"/>
  <c r="B16" i="12" s="1"/>
  <c r="W54" i="11"/>
  <c r="B32" i="12" s="1"/>
  <c r="W55" i="11"/>
  <c r="B46" i="12" s="1"/>
  <c r="W56" i="11"/>
  <c r="B24" i="12" s="1"/>
  <c r="W57" i="11"/>
  <c r="B79" i="12" s="1"/>
  <c r="W58" i="11"/>
  <c r="B30" i="12" s="1"/>
  <c r="W59" i="11"/>
  <c r="B76" i="12" s="1"/>
  <c r="W60" i="11"/>
  <c r="B26" i="12" s="1"/>
  <c r="W61" i="11"/>
  <c r="W62" i="11"/>
  <c r="B31" i="12" s="1"/>
  <c r="W63" i="11"/>
  <c r="B17" i="12" s="1"/>
  <c r="W64" i="11"/>
  <c r="B18" i="12" s="1"/>
  <c r="W65" i="11"/>
  <c r="B51" i="12" s="1"/>
  <c r="W66" i="11"/>
  <c r="B67" i="12" s="1"/>
  <c r="W67" i="11"/>
  <c r="B69" i="12" s="1"/>
  <c r="W68" i="11"/>
  <c r="B43" i="12" s="1"/>
  <c r="W69" i="11"/>
  <c r="W70" i="11"/>
  <c r="B21" i="12" s="1"/>
  <c r="W71" i="11"/>
  <c r="W72" i="11"/>
  <c r="W73" i="11"/>
  <c r="W74" i="11"/>
  <c r="B15" i="12" s="1"/>
  <c r="W75" i="11"/>
  <c r="B25" i="12" s="1"/>
  <c r="W76" i="11"/>
  <c r="B29" i="12" s="1"/>
  <c r="W77" i="11"/>
  <c r="B9" i="12" s="1"/>
  <c r="W78" i="11"/>
  <c r="W79" i="11"/>
  <c r="B44" i="12" s="1"/>
  <c r="W80" i="11"/>
  <c r="B22" i="12" s="1"/>
  <c r="W81" i="11"/>
  <c r="B38" i="12" s="1"/>
  <c r="W82" i="11"/>
  <c r="W83" i="11"/>
  <c r="B20" i="12" s="1"/>
  <c r="W84" i="11"/>
  <c r="B23" i="12" s="1"/>
  <c r="W85" i="11"/>
  <c r="B19" i="12" s="1"/>
  <c r="W86" i="11"/>
  <c r="B39" i="12" s="1"/>
  <c r="W87" i="11"/>
  <c r="W8" i="11"/>
  <c r="B47" i="12" s="1"/>
  <c r="C24" i="11"/>
  <c r="B64" i="12" l="1"/>
  <c r="B86" i="12"/>
  <c r="B78" i="12"/>
  <c r="B85" i="12"/>
  <c r="B40" i="12"/>
  <c r="B37" i="12"/>
  <c r="A77" i="11"/>
  <c r="A78" i="11"/>
  <c r="A49" i="11"/>
  <c r="A71" i="11"/>
  <c r="A51" i="11"/>
  <c r="A47" i="11"/>
  <c r="A87" i="11"/>
  <c r="A86" i="11"/>
  <c r="A73" i="11"/>
  <c r="A66" i="11"/>
  <c r="A57" i="11"/>
  <c r="A61" i="11"/>
  <c r="A81" i="11"/>
  <c r="A82" i="11"/>
  <c r="A67" i="11"/>
  <c r="A72" i="11"/>
  <c r="A43" i="11"/>
  <c r="A48" i="11"/>
  <c r="A11" i="11"/>
  <c r="A13" i="11"/>
  <c r="A12" i="11"/>
  <c r="A14" i="11"/>
  <c r="A59" i="11"/>
  <c r="A69" i="11"/>
  <c r="B62" i="12"/>
  <c r="B77" i="12"/>
  <c r="B68" i="12"/>
  <c r="B12" i="12"/>
  <c r="B58" i="12"/>
  <c r="B10" i="12"/>
  <c r="C10" i="11" l="1"/>
  <c r="C11" i="11"/>
  <c r="C12" i="11"/>
  <c r="C13" i="11"/>
  <c r="C14" i="11"/>
  <c r="C15" i="11"/>
  <c r="C16" i="11"/>
  <c r="C17" i="11"/>
  <c r="C18" i="11"/>
  <c r="C19" i="11"/>
  <c r="C20" i="11"/>
  <c r="C21" i="11"/>
  <c r="C22" i="11"/>
  <c r="C23" i="11"/>
  <c r="C25" i="11"/>
  <c r="C26" i="11"/>
  <c r="C27" i="11"/>
  <c r="C28" i="11"/>
  <c r="C29" i="11"/>
  <c r="C30" i="11"/>
  <c r="C31" i="11"/>
  <c r="C32" i="11"/>
  <c r="C33" i="11"/>
  <c r="C35" i="11"/>
  <c r="C36" i="11"/>
  <c r="C37" i="11"/>
  <c r="C38" i="11"/>
  <c r="C39" i="11"/>
  <c r="C40" i="11"/>
  <c r="C41" i="11"/>
  <c r="C42" i="11"/>
  <c r="C43" i="11"/>
  <c r="C44" i="11"/>
  <c r="C45" i="11"/>
  <c r="C46" i="11"/>
  <c r="C47" i="11"/>
  <c r="C48" i="11"/>
  <c r="C49" i="11"/>
  <c r="C50" i="11"/>
  <c r="C51" i="11"/>
  <c r="C52" i="11"/>
  <c r="C53" i="11"/>
  <c r="C54" i="11"/>
  <c r="C55" i="11"/>
  <c r="C56" i="11"/>
  <c r="C57" i="11"/>
  <c r="C58" i="11"/>
  <c r="C59" i="11"/>
  <c r="C60" i="11"/>
  <c r="C61" i="11"/>
  <c r="C62" i="11"/>
  <c r="C63" i="11"/>
  <c r="C64" i="11"/>
  <c r="C65" i="11"/>
  <c r="C66" i="11"/>
  <c r="C67" i="11"/>
  <c r="C68" i="11"/>
  <c r="C69" i="11"/>
  <c r="C70" i="11"/>
  <c r="C71" i="11"/>
  <c r="C72" i="11"/>
  <c r="C73" i="11"/>
  <c r="C74" i="11"/>
  <c r="C75" i="11"/>
  <c r="C76" i="11"/>
  <c r="C77" i="11"/>
  <c r="C78" i="11"/>
  <c r="C79" i="11"/>
  <c r="C80" i="11"/>
  <c r="C81" i="11"/>
  <c r="C82" i="11"/>
  <c r="C83" i="11"/>
  <c r="C84" i="11"/>
  <c r="C85" i="11"/>
  <c r="C86" i="11"/>
  <c r="C87" i="11"/>
  <c r="C9" i="11"/>
  <c r="C8" i="11"/>
  <c r="Y9" i="12" l="1"/>
  <c r="Y10" i="12"/>
  <c r="Y11" i="12"/>
  <c r="Y12" i="12"/>
  <c r="Y13" i="12"/>
  <c r="Y14" i="12"/>
  <c r="Y15" i="12"/>
  <c r="Y16" i="12"/>
  <c r="Y17" i="12"/>
  <c r="Y18" i="12"/>
  <c r="Y19" i="12"/>
  <c r="Y20" i="12"/>
  <c r="Y21" i="12"/>
  <c r="Y22" i="12"/>
  <c r="Y23" i="12"/>
  <c r="Y24" i="12"/>
  <c r="Y25" i="12"/>
  <c r="Y26" i="12"/>
  <c r="Y27" i="12"/>
  <c r="Y28" i="12"/>
  <c r="Y29" i="12"/>
  <c r="Y30" i="12"/>
  <c r="Y31" i="12"/>
  <c r="Y32" i="12"/>
  <c r="Y33" i="12"/>
  <c r="Y34" i="12"/>
  <c r="Y35" i="12"/>
  <c r="Y36" i="12"/>
  <c r="Y37" i="12"/>
  <c r="Y38" i="12"/>
  <c r="Y39" i="12"/>
  <c r="Y40" i="12"/>
  <c r="Y41" i="12"/>
  <c r="Y42" i="12"/>
  <c r="Y43" i="12"/>
  <c r="Y44" i="12"/>
  <c r="Y45" i="12"/>
  <c r="Y46" i="12"/>
  <c r="Y47" i="12"/>
  <c r="Y48" i="12"/>
  <c r="Y49" i="12"/>
  <c r="Y50" i="12"/>
  <c r="Y51" i="12"/>
  <c r="Y52" i="12"/>
  <c r="Y53" i="12"/>
  <c r="Y54" i="12"/>
  <c r="Y55" i="12"/>
  <c r="Y56" i="12"/>
  <c r="Y57" i="12"/>
  <c r="Y58" i="12"/>
  <c r="Y59" i="12"/>
  <c r="Y60" i="12"/>
  <c r="Y61" i="12"/>
  <c r="Y62" i="12"/>
  <c r="Y63" i="12"/>
  <c r="Y64" i="12"/>
  <c r="Y66" i="12"/>
  <c r="Y67" i="12"/>
  <c r="Y68" i="12"/>
  <c r="Y69" i="12"/>
  <c r="Y70" i="12"/>
  <c r="Y71" i="12"/>
  <c r="Y72" i="12"/>
  <c r="Y74" i="12"/>
  <c r="Y75" i="12"/>
  <c r="Y76" i="12"/>
  <c r="Y77" i="12"/>
  <c r="Y78" i="12"/>
  <c r="Y79" i="12"/>
  <c r="Y80" i="12"/>
  <c r="Y81" i="12"/>
  <c r="Y82" i="12"/>
  <c r="Y83" i="12"/>
  <c r="Y84" i="12"/>
  <c r="Y85" i="12"/>
  <c r="Y86" i="12"/>
  <c r="Y87" i="12"/>
  <c r="Y8" i="12"/>
  <c r="X112" i="8"/>
  <c r="X113" i="8"/>
  <c r="X114" i="8"/>
  <c r="U115" i="1"/>
  <c r="V115" i="1"/>
  <c r="U116" i="1"/>
  <c r="V116" i="1"/>
  <c r="U117" i="1"/>
  <c r="V117" i="1"/>
  <c r="U118" i="1"/>
  <c r="V118" i="1"/>
  <c r="U119" i="1"/>
  <c r="V119" i="1"/>
  <c r="U120" i="1"/>
  <c r="V120" i="1"/>
  <c r="Y5" i="8"/>
  <c r="Y17" i="8"/>
  <c r="Y42" i="8"/>
  <c r="Y62" i="8"/>
  <c r="Y68" i="8"/>
  <c r="Y79" i="8"/>
  <c r="Y85" i="8"/>
  <c r="Y112" i="8"/>
  <c r="Y113" i="8"/>
  <c r="Y114" i="8"/>
  <c r="X13" i="4"/>
  <c r="X18" i="4"/>
  <c r="X29" i="4"/>
  <c r="X37" i="4"/>
  <c r="X44" i="4"/>
  <c r="X79" i="4"/>
  <c r="X83" i="4"/>
  <c r="X92" i="4"/>
  <c r="X105" i="4"/>
  <c r="W13" i="4"/>
  <c r="W18" i="4"/>
  <c r="W29" i="4"/>
  <c r="W37" i="4"/>
  <c r="W44" i="4"/>
  <c r="W79" i="4"/>
  <c r="W83" i="4"/>
  <c r="W92" i="4"/>
  <c r="W105" i="4"/>
  <c r="W2" i="4"/>
  <c r="V114" i="1" l="1"/>
  <c r="U114" i="1"/>
  <c r="A106" i="5" l="1"/>
  <c r="A105" i="5" l="1"/>
  <c r="W104" i="4" l="1"/>
  <c r="X104" i="4"/>
  <c r="A104" i="4"/>
  <c r="A115" i="2"/>
  <c r="A114" i="1"/>
  <c r="A3" i="2" l="1"/>
  <c r="A4" i="2"/>
  <c r="A5" i="2"/>
  <c r="A6" i="2"/>
  <c r="A7" i="2"/>
  <c r="A8" i="2"/>
  <c r="A9" i="2"/>
  <c r="A10" i="2"/>
  <c r="A11" i="2"/>
  <c r="A12" i="2"/>
  <c r="A13" i="2"/>
  <c r="A14" i="2"/>
  <c r="A15" i="2"/>
  <c r="A16" i="2"/>
  <c r="A17" i="2"/>
  <c r="A18" i="2"/>
  <c r="A19" i="2"/>
  <c r="A20" i="2"/>
  <c r="A21" i="2"/>
  <c r="A22" i="2"/>
  <c r="A23" i="2"/>
  <c r="A24" i="2"/>
  <c r="A25" i="2"/>
  <c r="A26" i="2"/>
  <c r="A27" i="2"/>
  <c r="A28" i="2"/>
  <c r="A29" i="2"/>
  <c r="A30" i="2"/>
  <c r="A31" i="2"/>
  <c r="A32" i="2"/>
  <c r="A33" i="2"/>
  <c r="A34" i="2"/>
  <c r="A35" i="2"/>
  <c r="A36" i="2"/>
  <c r="A37" i="2"/>
  <c r="A38" i="2"/>
  <c r="A39" i="2"/>
  <c r="A40" i="2"/>
  <c r="A41" i="2"/>
  <c r="A42" i="2"/>
  <c r="A43" i="2"/>
  <c r="A44" i="2"/>
  <c r="A45" i="2"/>
  <c r="A46" i="2"/>
  <c r="A47" i="2"/>
  <c r="A48" i="2"/>
  <c r="A49" i="2"/>
  <c r="A50" i="2"/>
  <c r="A51" i="2"/>
  <c r="A52" i="2"/>
  <c r="A53" i="2"/>
  <c r="A54" i="2"/>
  <c r="A55" i="2"/>
  <c r="A56" i="2"/>
  <c r="A57" i="2"/>
  <c r="A58" i="2"/>
  <c r="A59" i="2"/>
  <c r="A60" i="2"/>
  <c r="A61" i="2"/>
  <c r="A62" i="2"/>
  <c r="A63" i="2"/>
  <c r="A64" i="2"/>
  <c r="A65" i="2"/>
  <c r="A66" i="2"/>
  <c r="A67" i="2"/>
  <c r="A68" i="2"/>
  <c r="A69" i="2"/>
  <c r="A70" i="2"/>
  <c r="A71" i="2"/>
  <c r="A72" i="2"/>
  <c r="A73" i="2"/>
  <c r="A74" i="2"/>
  <c r="A75" i="2"/>
  <c r="A76" i="2"/>
  <c r="A77" i="2"/>
  <c r="A78" i="2"/>
  <c r="A79" i="2"/>
  <c r="A80" i="2"/>
  <c r="A81" i="2"/>
  <c r="A82" i="2"/>
  <c r="A83" i="2"/>
  <c r="A84" i="2"/>
  <c r="A85" i="2"/>
  <c r="A86" i="2"/>
  <c r="A87" i="2"/>
  <c r="A88" i="2"/>
  <c r="A89" i="2"/>
  <c r="A90" i="2"/>
  <c r="A91" i="2"/>
  <c r="A92" i="2"/>
  <c r="A93" i="2"/>
  <c r="A94" i="2"/>
  <c r="A95" i="2"/>
  <c r="A96" i="2"/>
  <c r="A97" i="2"/>
  <c r="A98" i="2"/>
  <c r="A99" i="2"/>
  <c r="A100" i="2"/>
  <c r="A101" i="2"/>
  <c r="A102" i="2"/>
  <c r="A103" i="2"/>
  <c r="A104" i="2"/>
  <c r="A105" i="2"/>
  <c r="A106" i="2"/>
  <c r="A107" i="2"/>
  <c r="A108" i="2"/>
  <c r="A109" i="2"/>
  <c r="A110" i="2"/>
  <c r="A111" i="2"/>
  <c r="A112" i="2"/>
  <c r="A113" i="2"/>
  <c r="A114" i="2"/>
  <c r="I24" i="11" l="1"/>
  <c r="I65" i="12"/>
  <c r="U16" i="1"/>
  <c r="U8" i="1"/>
  <c r="U103" i="1"/>
  <c r="U95" i="1"/>
  <c r="U86" i="1"/>
  <c r="U78" i="1"/>
  <c r="U70" i="1"/>
  <c r="U61" i="1"/>
  <c r="U53" i="1"/>
  <c r="U45" i="1"/>
  <c r="U37" i="1"/>
  <c r="U29" i="1"/>
  <c r="U21" i="1"/>
  <c r="U111" i="1"/>
  <c r="U7" i="1"/>
  <c r="U110" i="1"/>
  <c r="U102" i="1"/>
  <c r="U94" i="1"/>
  <c r="U85" i="1"/>
  <c r="U77" i="1"/>
  <c r="U69" i="1"/>
  <c r="U60" i="1"/>
  <c r="U52" i="1"/>
  <c r="U44" i="1"/>
  <c r="U20" i="1"/>
  <c r="U12" i="1"/>
  <c r="U4" i="1"/>
  <c r="V83" i="1"/>
  <c r="V75" i="1"/>
  <c r="V67" i="1"/>
  <c r="V58" i="1"/>
  <c r="V50" i="1"/>
  <c r="V42" i="1"/>
  <c r="V34" i="1"/>
  <c r="V26" i="1"/>
  <c r="V18" i="1"/>
  <c r="U13" i="1"/>
  <c r="V10" i="1"/>
  <c r="U5" i="1"/>
  <c r="V2" i="1"/>
  <c r="V91" i="1"/>
  <c r="U112" i="1"/>
  <c r="U104" i="1"/>
  <c r="V101" i="1"/>
  <c r="U79" i="1"/>
  <c r="V76" i="1"/>
  <c r="U62" i="1"/>
  <c r="V59" i="1"/>
  <c r="U22" i="1"/>
  <c r="V108" i="1"/>
  <c r="V109" i="1"/>
  <c r="U71" i="1"/>
  <c r="V68" i="1"/>
  <c r="U63" i="1"/>
  <c r="U46" i="1"/>
  <c r="V43" i="1"/>
  <c r="V19" i="1"/>
  <c r="V11" i="1"/>
  <c r="U6" i="1"/>
  <c r="U105" i="1"/>
  <c r="V102" i="1"/>
  <c r="U97" i="1"/>
  <c r="V94" i="1"/>
  <c r="U88" i="1"/>
  <c r="V85" i="1"/>
  <c r="U80" i="1"/>
  <c r="V77" i="1"/>
  <c r="U72" i="1"/>
  <c r="V69" i="1"/>
  <c r="U64" i="1"/>
  <c r="V60" i="1"/>
  <c r="U55" i="1"/>
  <c r="V52" i="1"/>
  <c r="U47" i="1"/>
  <c r="V44" i="1"/>
  <c r="U39" i="1"/>
  <c r="V36" i="1"/>
  <c r="U31" i="1"/>
  <c r="V28" i="1"/>
  <c r="U23" i="1"/>
  <c r="V20" i="1"/>
  <c r="U15" i="1"/>
  <c r="V12" i="1"/>
  <c r="V4" i="1"/>
  <c r="V99" i="1"/>
  <c r="V100" i="1"/>
  <c r="U96" i="1"/>
  <c r="V93" i="1"/>
  <c r="V92" i="1"/>
  <c r="U87" i="1"/>
  <c r="V84" i="1"/>
  <c r="U54" i="1"/>
  <c r="V51" i="1"/>
  <c r="U38" i="1"/>
  <c r="V35" i="1"/>
  <c r="U30" i="1"/>
  <c r="V27" i="1"/>
  <c r="U14" i="1"/>
  <c r="V3" i="1"/>
  <c r="V110" i="1"/>
  <c r="V103" i="1"/>
  <c r="U98" i="1"/>
  <c r="V95" i="1"/>
  <c r="U89" i="1"/>
  <c r="V86" i="1"/>
  <c r="U81" i="1"/>
  <c r="V78" i="1"/>
  <c r="U73" i="1"/>
  <c r="V70" i="1"/>
  <c r="U65" i="1"/>
  <c r="V61" i="1"/>
  <c r="U56" i="1"/>
  <c r="V53" i="1"/>
  <c r="U48" i="1"/>
  <c r="V45" i="1"/>
  <c r="U40" i="1"/>
  <c r="V37" i="1"/>
  <c r="U32" i="1"/>
  <c r="V29" i="1"/>
  <c r="U24" i="1"/>
  <c r="V21" i="1"/>
  <c r="V13" i="1"/>
  <c r="V5" i="1"/>
  <c r="V111" i="1"/>
  <c r="U99" i="1"/>
  <c r="V96" i="1"/>
  <c r="U90" i="1"/>
  <c r="V87" i="1"/>
  <c r="U82" i="1"/>
  <c r="V79" i="1"/>
  <c r="U74" i="1"/>
  <c r="V71" i="1"/>
  <c r="U66" i="1"/>
  <c r="V63" i="1"/>
  <c r="V62" i="1"/>
  <c r="U57" i="1"/>
  <c r="V54" i="1"/>
  <c r="U49" i="1"/>
  <c r="V46" i="1"/>
  <c r="U41" i="1"/>
  <c r="V38" i="1"/>
  <c r="U33" i="1"/>
  <c r="V30" i="1"/>
  <c r="U25" i="1"/>
  <c r="V22" i="1"/>
  <c r="U17" i="1"/>
  <c r="V14" i="1"/>
  <c r="U9" i="1"/>
  <c r="V6" i="1"/>
  <c r="U113" i="1"/>
  <c r="V104" i="1"/>
  <c r="V113" i="1"/>
  <c r="U108" i="1"/>
  <c r="V105" i="1"/>
  <c r="U100" i="1"/>
  <c r="V97" i="1"/>
  <c r="U91" i="1"/>
  <c r="V88" i="1"/>
  <c r="U83" i="1"/>
  <c r="V80" i="1"/>
  <c r="U75" i="1"/>
  <c r="V72" i="1"/>
  <c r="U67" i="1"/>
  <c r="V64" i="1"/>
  <c r="U58" i="1"/>
  <c r="V55" i="1"/>
  <c r="U50" i="1"/>
  <c r="V47" i="1"/>
  <c r="U42" i="1"/>
  <c r="V39" i="1"/>
  <c r="U34" i="1"/>
  <c r="V31" i="1"/>
  <c r="U26" i="1"/>
  <c r="V23" i="1"/>
  <c r="U18" i="1"/>
  <c r="V15" i="1"/>
  <c r="U10" i="1"/>
  <c r="V7" i="1"/>
  <c r="I15" i="11"/>
  <c r="I26" i="11"/>
  <c r="I30" i="11"/>
  <c r="I35" i="11"/>
  <c r="I38" i="11"/>
  <c r="I41" i="11"/>
  <c r="I56" i="11"/>
  <c r="I60" i="11"/>
  <c r="I70" i="11"/>
  <c r="I75" i="11"/>
  <c r="I80" i="11"/>
  <c r="I84" i="11"/>
  <c r="I21" i="11"/>
  <c r="I29" i="11"/>
  <c r="I37" i="11"/>
  <c r="I39" i="11"/>
  <c r="I55" i="11"/>
  <c r="I74" i="11"/>
  <c r="I83" i="11"/>
  <c r="I85" i="11"/>
  <c r="U2" i="1"/>
  <c r="I20" i="12"/>
  <c r="I28" i="12"/>
  <c r="I33" i="12"/>
  <c r="I34" i="12"/>
  <c r="I72" i="12"/>
  <c r="I27" i="12"/>
  <c r="I25" i="12"/>
  <c r="I48" i="12"/>
  <c r="I41" i="12"/>
  <c r="I24" i="12"/>
  <c r="I71" i="12"/>
  <c r="I23" i="12"/>
  <c r="I36" i="12"/>
  <c r="I22" i="12"/>
  <c r="I46" i="12"/>
  <c r="I21" i="12"/>
  <c r="I26" i="12"/>
  <c r="I70" i="12"/>
  <c r="I15" i="12"/>
  <c r="I19" i="12"/>
  <c r="U106" i="1"/>
  <c r="V112" i="1"/>
  <c r="U107" i="1"/>
  <c r="U109" i="1"/>
  <c r="V106" i="1"/>
  <c r="U101" i="1"/>
  <c r="V98" i="1"/>
  <c r="U93" i="1"/>
  <c r="U92" i="1"/>
  <c r="V89" i="1"/>
  <c r="U84" i="1"/>
  <c r="V81" i="1"/>
  <c r="U76" i="1"/>
  <c r="V73" i="1"/>
  <c r="U68" i="1"/>
  <c r="V65" i="1"/>
  <c r="U59" i="1"/>
  <c r="V56" i="1"/>
  <c r="U51" i="1"/>
  <c r="V48" i="1"/>
  <c r="U43" i="1"/>
  <c r="V40" i="1"/>
  <c r="U35" i="1"/>
  <c r="V32" i="1"/>
  <c r="U27" i="1"/>
  <c r="V24" i="1"/>
  <c r="U19" i="1"/>
  <c r="V16" i="1"/>
  <c r="U11" i="1"/>
  <c r="V8" i="1"/>
  <c r="U3" i="1"/>
  <c r="V107" i="1"/>
  <c r="V90" i="1"/>
  <c r="V82" i="1"/>
  <c r="V74" i="1"/>
  <c r="V66" i="1"/>
  <c r="V57" i="1"/>
  <c r="V49" i="1"/>
  <c r="V41" i="1"/>
  <c r="U36" i="1"/>
  <c r="V33" i="1"/>
  <c r="U28" i="1"/>
  <c r="V25" i="1"/>
  <c r="V17" i="1"/>
  <c r="V9" i="1"/>
  <c r="A90" i="1"/>
  <c r="A113" i="1"/>
  <c r="A111" i="1"/>
  <c r="A109" i="1"/>
  <c r="A107" i="1"/>
  <c r="A105" i="1"/>
  <c r="A103" i="1"/>
  <c r="A101" i="1"/>
  <c r="A99" i="1"/>
  <c r="A97" i="1"/>
  <c r="A95" i="1"/>
  <c r="A93" i="1"/>
  <c r="A62" i="1"/>
  <c r="A60" i="1"/>
  <c r="A56" i="1"/>
  <c r="A52" i="1"/>
  <c r="A48" i="1"/>
  <c r="A42" i="1"/>
  <c r="A36" i="1"/>
  <c r="A34" i="1"/>
  <c r="A30" i="1"/>
  <c r="A28" i="1"/>
  <c r="A26" i="1"/>
  <c r="A24" i="1"/>
  <c r="A22" i="1"/>
  <c r="A20" i="1"/>
  <c r="A18" i="1"/>
  <c r="A16" i="1"/>
  <c r="A14" i="1"/>
  <c r="A12" i="1"/>
  <c r="A10" i="1"/>
  <c r="A8" i="1"/>
  <c r="A6" i="1"/>
  <c r="A4" i="1"/>
  <c r="A2" i="1"/>
  <c r="A91" i="1"/>
  <c r="A89" i="1"/>
  <c r="A87" i="1"/>
  <c r="A85" i="1"/>
  <c r="A83" i="1"/>
  <c r="A81" i="1"/>
  <c r="A79" i="1"/>
  <c r="A77" i="1"/>
  <c r="A75" i="1"/>
  <c r="A73" i="1"/>
  <c r="A71" i="1"/>
  <c r="A69" i="1"/>
  <c r="A67" i="1"/>
  <c r="A65" i="1"/>
  <c r="A63" i="1"/>
  <c r="A92" i="1"/>
  <c r="A88" i="1"/>
  <c r="A86" i="1"/>
  <c r="A84" i="1"/>
  <c r="A82" i="1"/>
  <c r="A80" i="1"/>
  <c r="A78" i="1"/>
  <c r="A76" i="1"/>
  <c r="A74" i="1"/>
  <c r="A72" i="1"/>
  <c r="A70" i="1"/>
  <c r="A68" i="1"/>
  <c r="A66" i="1"/>
  <c r="A64" i="1"/>
  <c r="A58" i="1"/>
  <c r="A54" i="1"/>
  <c r="A50" i="1"/>
  <c r="A46" i="1"/>
  <c r="A44" i="1"/>
  <c r="A40" i="1"/>
  <c r="A38" i="1"/>
  <c r="A32" i="1"/>
  <c r="A112" i="1"/>
  <c r="A110" i="1"/>
  <c r="A108" i="1"/>
  <c r="A106" i="1"/>
  <c r="A104" i="1"/>
  <c r="A102" i="1"/>
  <c r="A100" i="1"/>
  <c r="A98" i="1"/>
  <c r="A96" i="1"/>
  <c r="A94" i="1"/>
  <c r="A61" i="1"/>
  <c r="A59" i="1"/>
  <c r="A57" i="1"/>
  <c r="A55" i="1"/>
  <c r="A53" i="1"/>
  <c r="A51" i="1"/>
  <c r="A49" i="1"/>
  <c r="A47" i="1"/>
  <c r="A45" i="1"/>
  <c r="A43" i="1"/>
  <c r="A41" i="1"/>
  <c r="A39" i="1"/>
  <c r="A37" i="1"/>
  <c r="A35" i="1"/>
  <c r="A33" i="1"/>
  <c r="A31" i="1"/>
  <c r="A29" i="1"/>
  <c r="A27" i="1"/>
  <c r="A25" i="1"/>
  <c r="A23" i="1"/>
  <c r="A21" i="1"/>
  <c r="A19" i="1"/>
  <c r="A17" i="1"/>
  <c r="A15" i="1"/>
  <c r="A13" i="1"/>
  <c r="A11" i="1"/>
  <c r="A9" i="1"/>
  <c r="A7" i="1"/>
  <c r="A5" i="1"/>
  <c r="A3" i="1"/>
  <c r="A4" i="7"/>
  <c r="A5" i="7"/>
  <c r="A7" i="7"/>
  <c r="A8" i="7"/>
  <c r="A9" i="7"/>
  <c r="A10" i="7"/>
  <c r="A11" i="7"/>
  <c r="A12" i="7"/>
  <c r="A13" i="7"/>
  <c r="A14" i="7"/>
  <c r="A15" i="7"/>
  <c r="A16" i="7"/>
  <c r="A17" i="7"/>
  <c r="A18" i="7"/>
  <c r="A19" i="7"/>
  <c r="A20" i="7"/>
  <c r="A21" i="7"/>
  <c r="A22" i="7"/>
  <c r="A23" i="7"/>
  <c r="A24" i="7"/>
  <c r="A25" i="7"/>
  <c r="A26" i="7"/>
  <c r="A27" i="7"/>
  <c r="A28" i="7"/>
  <c r="A29" i="7"/>
  <c r="A30" i="7"/>
  <c r="A31" i="7"/>
  <c r="A32" i="7"/>
  <c r="A33" i="7"/>
  <c r="A34" i="7"/>
  <c r="A35" i="7"/>
  <c r="A36" i="7"/>
  <c r="A37" i="7"/>
  <c r="A38" i="7"/>
  <c r="A39" i="7"/>
  <c r="A40" i="7"/>
  <c r="A41" i="7"/>
  <c r="A42" i="7"/>
  <c r="A44" i="7"/>
  <c r="A45" i="7"/>
  <c r="A46" i="7"/>
  <c r="A47" i="7"/>
  <c r="A48" i="7"/>
  <c r="A49" i="7"/>
  <c r="A50" i="7"/>
  <c r="A51" i="7"/>
  <c r="A52" i="7"/>
  <c r="A53" i="7"/>
  <c r="A54" i="7"/>
  <c r="A55" i="7"/>
  <c r="A56" i="7"/>
  <c r="A57" i="7"/>
  <c r="A58" i="7"/>
  <c r="A59" i="7"/>
  <c r="A60" i="7"/>
  <c r="A61" i="7"/>
  <c r="A62" i="7"/>
  <c r="A64" i="7"/>
  <c r="A65" i="7"/>
  <c r="A66" i="7"/>
  <c r="A67" i="7"/>
  <c r="A68" i="7"/>
  <c r="A70" i="7"/>
  <c r="A71" i="7"/>
  <c r="A72" i="7"/>
  <c r="A73" i="7"/>
  <c r="A74" i="7"/>
  <c r="A75" i="7"/>
  <c r="A76" i="7"/>
  <c r="A77" i="7"/>
  <c r="A78" i="7"/>
  <c r="A79" i="7"/>
  <c r="A81" i="7"/>
  <c r="A82" i="7"/>
  <c r="A83" i="7"/>
  <c r="A84" i="7"/>
  <c r="A85" i="7"/>
  <c r="A87" i="7"/>
  <c r="A88" i="7"/>
  <c r="A89" i="7"/>
  <c r="A90" i="7"/>
  <c r="A91" i="7"/>
  <c r="A92" i="7"/>
  <c r="A93" i="7"/>
  <c r="A94" i="7"/>
  <c r="A95" i="7"/>
  <c r="A96" i="7"/>
  <c r="A97" i="7"/>
  <c r="A98" i="7"/>
  <c r="A99" i="7"/>
  <c r="A100" i="7"/>
  <c r="A101" i="7"/>
  <c r="A102" i="7"/>
  <c r="A103" i="7"/>
  <c r="A104" i="7"/>
  <c r="A105" i="7"/>
  <c r="A106" i="7"/>
  <c r="A107" i="7"/>
  <c r="A108" i="7"/>
  <c r="A109" i="7"/>
  <c r="A110" i="7"/>
  <c r="A111" i="7"/>
  <c r="A112" i="7"/>
  <c r="X5" i="8"/>
  <c r="X42" i="8"/>
  <c r="X62" i="8"/>
  <c r="X68" i="8"/>
  <c r="X79" i="8"/>
  <c r="X85" i="8"/>
  <c r="J65" i="12" l="1"/>
  <c r="J24" i="11"/>
  <c r="X106" i="4"/>
  <c r="X103" i="4"/>
  <c r="W101" i="4"/>
  <c r="X99" i="4"/>
  <c r="W91" i="4"/>
  <c r="W86" i="4"/>
  <c r="X81" i="4"/>
  <c r="W78" i="4"/>
  <c r="X76" i="4"/>
  <c r="W74" i="4"/>
  <c r="X55" i="4"/>
  <c r="W51" i="4"/>
  <c r="W46" i="4"/>
  <c r="X43" i="4"/>
  <c r="W41" i="4"/>
  <c r="X38" i="4"/>
  <c r="W35" i="4"/>
  <c r="X33" i="4"/>
  <c r="W30" i="4"/>
  <c r="X26" i="4"/>
  <c r="W23" i="4"/>
  <c r="X19" i="4"/>
  <c r="W16" i="4"/>
  <c r="X14" i="4"/>
  <c r="X8" i="4"/>
  <c r="W5" i="4"/>
  <c r="W97" i="4"/>
  <c r="X95" i="4"/>
  <c r="W93" i="4"/>
  <c r="X89" i="4"/>
  <c r="X82" i="4"/>
  <c r="X72" i="4"/>
  <c r="W70" i="4"/>
  <c r="X68" i="4"/>
  <c r="W66" i="4"/>
  <c r="X64" i="4"/>
  <c r="W62" i="4"/>
  <c r="X60" i="4"/>
  <c r="W58" i="4"/>
  <c r="W52" i="4"/>
  <c r="X49" i="4"/>
  <c r="W47" i="4"/>
  <c r="X39" i="4"/>
  <c r="W31" i="4"/>
  <c r="W24" i="4"/>
  <c r="X20" i="4"/>
  <c r="W11" i="4"/>
  <c r="X3" i="4"/>
  <c r="W102" i="4"/>
  <c r="X100" i="4"/>
  <c r="W98" i="4"/>
  <c r="W87" i="4"/>
  <c r="X84" i="4"/>
  <c r="W80" i="4"/>
  <c r="X77" i="4"/>
  <c r="W75" i="4"/>
  <c r="X56" i="4"/>
  <c r="W53" i="4"/>
  <c r="X45" i="4"/>
  <c r="W42" i="4"/>
  <c r="X40" i="4"/>
  <c r="W36" i="4"/>
  <c r="X34" i="4"/>
  <c r="X27" i="4"/>
  <c r="W25" i="4"/>
  <c r="X21" i="4"/>
  <c r="W17" i="4"/>
  <c r="X15" i="4"/>
  <c r="X9" i="4"/>
  <c r="W6" i="4"/>
  <c r="X4" i="4"/>
  <c r="J30" i="11"/>
  <c r="J60" i="11"/>
  <c r="J80" i="11"/>
  <c r="J83" i="11"/>
  <c r="J21" i="11"/>
  <c r="J37" i="11"/>
  <c r="J85" i="11"/>
  <c r="J38" i="11"/>
  <c r="J70" i="11"/>
  <c r="J39" i="11"/>
  <c r="J55" i="11"/>
  <c r="J74" i="11"/>
  <c r="J15" i="11"/>
  <c r="J26" i="11"/>
  <c r="J41" i="11"/>
  <c r="J56" i="11"/>
  <c r="J75" i="11"/>
  <c r="J29" i="11"/>
  <c r="J35" i="11"/>
  <c r="J84" i="11"/>
  <c r="J33" i="12"/>
  <c r="J25" i="12"/>
  <c r="J48" i="12"/>
  <c r="J26" i="12"/>
  <c r="J41" i="12"/>
  <c r="J28" i="12"/>
  <c r="J34" i="12"/>
  <c r="J20" i="12"/>
  <c r="J46" i="12"/>
  <c r="J22" i="12"/>
  <c r="J70" i="12"/>
  <c r="J15" i="12"/>
  <c r="J24" i="12"/>
  <c r="J19" i="12"/>
  <c r="J72" i="12"/>
  <c r="J27" i="12"/>
  <c r="J36" i="12"/>
  <c r="J71" i="12"/>
  <c r="J23" i="12"/>
  <c r="J21" i="12"/>
  <c r="X96" i="4"/>
  <c r="W94" i="4"/>
  <c r="X90" i="4"/>
  <c r="W88" i="4"/>
  <c r="X85" i="4"/>
  <c r="X73" i="4"/>
  <c r="W71" i="4"/>
  <c r="X69" i="4"/>
  <c r="W67" i="4"/>
  <c r="X65" i="4"/>
  <c r="W63" i="4"/>
  <c r="X61" i="4"/>
  <c r="W59" i="4"/>
  <c r="X57" i="4"/>
  <c r="W54" i="4"/>
  <c r="X50" i="4"/>
  <c r="W48" i="4"/>
  <c r="W32" i="4"/>
  <c r="X28" i="4"/>
  <c r="X22" i="4"/>
  <c r="W12" i="4"/>
  <c r="X10" i="4"/>
  <c r="W7" i="4"/>
  <c r="W103" i="4"/>
  <c r="X101" i="4"/>
  <c r="W99" i="4"/>
  <c r="X91" i="4"/>
  <c r="X86" i="4"/>
  <c r="W81" i="4"/>
  <c r="X78" i="4"/>
  <c r="W76" i="4"/>
  <c r="X74" i="4"/>
  <c r="W55" i="4"/>
  <c r="X51" i="4"/>
  <c r="X46" i="4"/>
  <c r="W43" i="4"/>
  <c r="X41" i="4"/>
  <c r="W38" i="4"/>
  <c r="X35" i="4"/>
  <c r="W33" i="4"/>
  <c r="X30" i="4"/>
  <c r="W26" i="4"/>
  <c r="X23" i="4"/>
  <c r="W19" i="4"/>
  <c r="X16" i="4"/>
  <c r="W14" i="4"/>
  <c r="W8" i="4"/>
  <c r="X5" i="4"/>
  <c r="X97" i="4"/>
  <c r="W95" i="4"/>
  <c r="X93" i="4"/>
  <c r="W89" i="4"/>
  <c r="W82" i="4"/>
  <c r="W72" i="4"/>
  <c r="X70" i="4"/>
  <c r="W68" i="4"/>
  <c r="X66" i="4"/>
  <c r="W64" i="4"/>
  <c r="X62" i="4"/>
  <c r="W60" i="4"/>
  <c r="X58" i="4"/>
  <c r="X52" i="4"/>
  <c r="W49" i="4"/>
  <c r="X47" i="4"/>
  <c r="W39" i="4"/>
  <c r="X31" i="4"/>
  <c r="X24" i="4"/>
  <c r="W20" i="4"/>
  <c r="X11" i="4"/>
  <c r="W3" i="4"/>
  <c r="W106" i="4"/>
  <c r="A106" i="4"/>
  <c r="X102" i="4"/>
  <c r="W100" i="4"/>
  <c r="X98" i="4"/>
  <c r="X87" i="4"/>
  <c r="W84" i="4"/>
  <c r="X80" i="4"/>
  <c r="W77" i="4"/>
  <c r="X75" i="4"/>
  <c r="W56" i="4"/>
  <c r="X53" i="4"/>
  <c r="W45" i="4"/>
  <c r="X42" i="4"/>
  <c r="W40" i="4"/>
  <c r="X36" i="4"/>
  <c r="W34" i="4"/>
  <c r="W27" i="4"/>
  <c r="X25" i="4"/>
  <c r="W21" i="4"/>
  <c r="X17" i="4"/>
  <c r="W15" i="4"/>
  <c r="W9" i="4"/>
  <c r="X6" i="4"/>
  <c r="W4" i="4"/>
  <c r="W96" i="4"/>
  <c r="X94" i="4"/>
  <c r="W90" i="4"/>
  <c r="X88" i="4"/>
  <c r="W85" i="4"/>
  <c r="W73" i="4"/>
  <c r="X71" i="4"/>
  <c r="W69" i="4"/>
  <c r="X67" i="4"/>
  <c r="W65" i="4"/>
  <c r="X63" i="4"/>
  <c r="W61" i="4"/>
  <c r="X59" i="4"/>
  <c r="W57" i="4"/>
  <c r="X54" i="4"/>
  <c r="W50" i="4"/>
  <c r="X48" i="4"/>
  <c r="X32" i="4"/>
  <c r="W28" i="4"/>
  <c r="W22" i="4"/>
  <c r="X12" i="4"/>
  <c r="W10" i="4"/>
  <c r="X7" i="4"/>
  <c r="X102" i="8"/>
  <c r="A102" i="8"/>
  <c r="Y100" i="8"/>
  <c r="Y92" i="8"/>
  <c r="X90" i="8"/>
  <c r="A90" i="8"/>
  <c r="Y88" i="8"/>
  <c r="X80" i="8"/>
  <c r="A80" i="8"/>
  <c r="X78" i="8"/>
  <c r="A78" i="8"/>
  <c r="Y76" i="8"/>
  <c r="X4" i="8"/>
  <c r="A4" i="8"/>
  <c r="X111" i="8"/>
  <c r="A111" i="8"/>
  <c r="Y109" i="8"/>
  <c r="X107" i="8"/>
  <c r="A107" i="8"/>
  <c r="Y105" i="8"/>
  <c r="X103" i="8"/>
  <c r="A103" i="8"/>
  <c r="Y101" i="8"/>
  <c r="X99" i="8"/>
  <c r="A99" i="8"/>
  <c r="Y97" i="8"/>
  <c r="X95" i="8"/>
  <c r="A95" i="8"/>
  <c r="Y93" i="8"/>
  <c r="X91" i="8"/>
  <c r="A91" i="8"/>
  <c r="Y89" i="8"/>
  <c r="X87" i="8"/>
  <c r="A87" i="8"/>
  <c r="Y83" i="8"/>
  <c r="X81" i="8"/>
  <c r="A81" i="8"/>
  <c r="Y77" i="8"/>
  <c r="X75" i="8"/>
  <c r="A75" i="8"/>
  <c r="Y73" i="8"/>
  <c r="X71" i="8"/>
  <c r="A71" i="8"/>
  <c r="Y69" i="8"/>
  <c r="Y67" i="8"/>
  <c r="X65" i="8"/>
  <c r="A65" i="8"/>
  <c r="Y63" i="8"/>
  <c r="Y61" i="8"/>
  <c r="X59" i="8"/>
  <c r="A59" i="8"/>
  <c r="Y57" i="8"/>
  <c r="X55" i="8"/>
  <c r="A55" i="8"/>
  <c r="Y53" i="8"/>
  <c r="X51" i="8"/>
  <c r="A51" i="8"/>
  <c r="Y49" i="8"/>
  <c r="X47" i="8"/>
  <c r="A47" i="8"/>
  <c r="Y45" i="8"/>
  <c r="X43" i="8"/>
  <c r="A43" i="8"/>
  <c r="Y38" i="8"/>
  <c r="X34" i="8"/>
  <c r="A34" i="8"/>
  <c r="Y32" i="8"/>
  <c r="X30" i="8"/>
  <c r="A30" i="8"/>
  <c r="Y28" i="8"/>
  <c r="X26" i="8"/>
  <c r="A26" i="8"/>
  <c r="Y24" i="8"/>
  <c r="X22" i="8"/>
  <c r="A22" i="8"/>
  <c r="Y20" i="8"/>
  <c r="X18" i="8"/>
  <c r="A18" i="8"/>
  <c r="X15" i="8"/>
  <c r="A15" i="8"/>
  <c r="Y13" i="8"/>
  <c r="X11" i="8"/>
  <c r="A11" i="8"/>
  <c r="Y9" i="8"/>
  <c r="X7" i="8"/>
  <c r="A7" i="8"/>
  <c r="Y3" i="8"/>
  <c r="Y108" i="8"/>
  <c r="X86" i="8"/>
  <c r="A86" i="8"/>
  <c r="X84" i="8"/>
  <c r="A84" i="8"/>
  <c r="X70" i="8"/>
  <c r="A70" i="8"/>
  <c r="X64" i="8"/>
  <c r="A64" i="8"/>
  <c r="Y60" i="8"/>
  <c r="X54" i="8"/>
  <c r="A54" i="8"/>
  <c r="Y48" i="8"/>
  <c r="X33" i="8"/>
  <c r="A33" i="8"/>
  <c r="X29" i="8"/>
  <c r="A29" i="8"/>
  <c r="Y27" i="8"/>
  <c r="Y23" i="8"/>
  <c r="X10" i="8"/>
  <c r="A10" i="8"/>
  <c r="Y8" i="8"/>
  <c r="Y110" i="8"/>
  <c r="X108" i="8"/>
  <c r="A108" i="8"/>
  <c r="Y106" i="8"/>
  <c r="X104" i="8"/>
  <c r="A104" i="8"/>
  <c r="Y102" i="8"/>
  <c r="X100" i="8"/>
  <c r="A100" i="8"/>
  <c r="Y98" i="8"/>
  <c r="X96" i="8"/>
  <c r="A96" i="8"/>
  <c r="Y94" i="8"/>
  <c r="X92" i="8"/>
  <c r="A92" i="8"/>
  <c r="Y90" i="8"/>
  <c r="X88" i="8"/>
  <c r="A88" i="8"/>
  <c r="Y86" i="8"/>
  <c r="Y84" i="8"/>
  <c r="X82" i="8"/>
  <c r="A82" i="8"/>
  <c r="Y80" i="8"/>
  <c r="Y78" i="8"/>
  <c r="X76" i="8"/>
  <c r="A76" i="8"/>
  <c r="Y74" i="8"/>
  <c r="X72" i="8"/>
  <c r="A72" i="8"/>
  <c r="Y70" i="8"/>
  <c r="X66" i="8"/>
  <c r="A66" i="8"/>
  <c r="Y64" i="8"/>
  <c r="X60" i="8"/>
  <c r="A60" i="8"/>
  <c r="Y58" i="8"/>
  <c r="X56" i="8"/>
  <c r="A56" i="8"/>
  <c r="Y54" i="8"/>
  <c r="X52" i="8"/>
  <c r="A52" i="8"/>
  <c r="Y50" i="8"/>
  <c r="X48" i="8"/>
  <c r="A48" i="8"/>
  <c r="Y46" i="8"/>
  <c r="X44" i="8"/>
  <c r="A44" i="8"/>
  <c r="Y41" i="8"/>
  <c r="X40" i="8"/>
  <c r="A40" i="8"/>
  <c r="Y39" i="8"/>
  <c r="X37" i="8"/>
  <c r="A37" i="8"/>
  <c r="Y36" i="8"/>
  <c r="X35" i="8"/>
  <c r="A35" i="8"/>
  <c r="Y33" i="8"/>
  <c r="X31" i="8"/>
  <c r="A31" i="8"/>
  <c r="Y29" i="8"/>
  <c r="X27" i="8"/>
  <c r="A27" i="8"/>
  <c r="Y25" i="8"/>
  <c r="X23" i="8"/>
  <c r="A23" i="8"/>
  <c r="Y21" i="8"/>
  <c r="X19" i="8"/>
  <c r="A19" i="8"/>
  <c r="X16" i="8"/>
  <c r="A16" i="8"/>
  <c r="Y14" i="8"/>
  <c r="X12" i="8"/>
  <c r="A12" i="8"/>
  <c r="Y10" i="8"/>
  <c r="X8" i="8"/>
  <c r="A8" i="8"/>
  <c r="Y6" i="8"/>
  <c r="Y4" i="8"/>
  <c r="X110" i="8"/>
  <c r="A110" i="8"/>
  <c r="Y104" i="8"/>
  <c r="X98" i="8"/>
  <c r="A98" i="8"/>
  <c r="X94" i="8"/>
  <c r="A94" i="8"/>
  <c r="Y82" i="8"/>
  <c r="Y72" i="8"/>
  <c r="X58" i="8"/>
  <c r="A58" i="8"/>
  <c r="Y56" i="8"/>
  <c r="Y52" i="8"/>
  <c r="X50" i="8"/>
  <c r="A50" i="8"/>
  <c r="Y40" i="8"/>
  <c r="Y37" i="8"/>
  <c r="X36" i="8"/>
  <c r="A36" i="8"/>
  <c r="Y19" i="8"/>
  <c r="Y16" i="8"/>
  <c r="X14" i="8"/>
  <c r="A14" i="8"/>
  <c r="Y12" i="8"/>
  <c r="X6" i="8"/>
  <c r="A6" i="8"/>
  <c r="Y111" i="8"/>
  <c r="X109" i="8"/>
  <c r="A109" i="8"/>
  <c r="Y107" i="8"/>
  <c r="X105" i="8"/>
  <c r="A105" i="8"/>
  <c r="Y103" i="8"/>
  <c r="X101" i="8"/>
  <c r="A101" i="8"/>
  <c r="Y99" i="8"/>
  <c r="X97" i="8"/>
  <c r="A97" i="8"/>
  <c r="Y95" i="8"/>
  <c r="X93" i="8"/>
  <c r="A93" i="8"/>
  <c r="Y91" i="8"/>
  <c r="X89" i="8"/>
  <c r="A89" i="8"/>
  <c r="Y87" i="8"/>
  <c r="X83" i="8"/>
  <c r="A83" i="8"/>
  <c r="Y81" i="8"/>
  <c r="X77" i="8"/>
  <c r="A77" i="8"/>
  <c r="Y75" i="8"/>
  <c r="X73" i="8"/>
  <c r="A73" i="8"/>
  <c r="Y71" i="8"/>
  <c r="X69" i="8"/>
  <c r="A69" i="8"/>
  <c r="X67" i="8"/>
  <c r="A67" i="8"/>
  <c r="Y65" i="8"/>
  <c r="X63" i="8"/>
  <c r="A63" i="8"/>
  <c r="X61" i="8"/>
  <c r="A61" i="8"/>
  <c r="Y59" i="8"/>
  <c r="X57" i="8"/>
  <c r="A57" i="8"/>
  <c r="Y55" i="8"/>
  <c r="X53" i="8"/>
  <c r="A53" i="8"/>
  <c r="Y51" i="8"/>
  <c r="X49" i="8"/>
  <c r="A49" i="8"/>
  <c r="Y47" i="8"/>
  <c r="X45" i="8"/>
  <c r="A45" i="8"/>
  <c r="Y43" i="8"/>
  <c r="X38" i="8"/>
  <c r="A38" i="8"/>
  <c r="Y34" i="8"/>
  <c r="X32" i="8"/>
  <c r="A32" i="8"/>
  <c r="Y30" i="8"/>
  <c r="X28" i="8"/>
  <c r="A28" i="8"/>
  <c r="Y26" i="8"/>
  <c r="X24" i="8"/>
  <c r="A24" i="8"/>
  <c r="Y22" i="8"/>
  <c r="X20" i="8"/>
  <c r="A20" i="8"/>
  <c r="Y18" i="8"/>
  <c r="X17" i="8"/>
  <c r="A17" i="8"/>
  <c r="Y15" i="8"/>
  <c r="X13" i="8"/>
  <c r="A13" i="8"/>
  <c r="Y11" i="8"/>
  <c r="X9" i="8"/>
  <c r="A9" i="8"/>
  <c r="Y7" i="8"/>
  <c r="X3" i="8"/>
  <c r="A3" i="8"/>
  <c r="I9" i="11"/>
  <c r="I18" i="11"/>
  <c r="I23" i="11"/>
  <c r="K9" i="11"/>
  <c r="K18" i="11"/>
  <c r="K23" i="11"/>
  <c r="K27" i="11"/>
  <c r="K28" i="11"/>
  <c r="K32" i="11"/>
  <c r="K33" i="11"/>
  <c r="K36" i="11"/>
  <c r="K40" i="11"/>
  <c r="K42" i="11"/>
  <c r="K45" i="11"/>
  <c r="K46" i="11"/>
  <c r="K47" i="11"/>
  <c r="K49" i="11"/>
  <c r="K51" i="11"/>
  <c r="K52" i="11"/>
  <c r="L9" i="11"/>
  <c r="L18" i="11"/>
  <c r="L23" i="11"/>
  <c r="L27" i="11"/>
  <c r="L28" i="11"/>
  <c r="L32" i="11"/>
  <c r="L33" i="11"/>
  <c r="L36" i="11"/>
  <c r="L40" i="11"/>
  <c r="L42" i="11"/>
  <c r="L45" i="11"/>
  <c r="L46" i="11"/>
  <c r="L47" i="11"/>
  <c r="H9" i="11"/>
  <c r="H27" i="11"/>
  <c r="H32" i="11"/>
  <c r="H36" i="11"/>
  <c r="H42" i="11"/>
  <c r="H46" i="11"/>
  <c r="H49" i="11"/>
  <c r="I51" i="11"/>
  <c r="L52" i="11"/>
  <c r="L57" i="11"/>
  <c r="L59" i="11"/>
  <c r="L61" i="11"/>
  <c r="L65" i="11"/>
  <c r="L66" i="11"/>
  <c r="L67" i="11"/>
  <c r="L68" i="11"/>
  <c r="L69" i="11"/>
  <c r="L71" i="11"/>
  <c r="L72" i="11"/>
  <c r="L73" i="11"/>
  <c r="L77" i="11"/>
  <c r="L78" i="11"/>
  <c r="L79" i="11"/>
  <c r="I27" i="11"/>
  <c r="I32" i="11"/>
  <c r="I36" i="11"/>
  <c r="I42" i="11"/>
  <c r="I46" i="11"/>
  <c r="I49" i="11"/>
  <c r="L51" i="11"/>
  <c r="H57" i="11"/>
  <c r="H59" i="11"/>
  <c r="H61" i="11"/>
  <c r="H65" i="11"/>
  <c r="H66" i="11"/>
  <c r="H67" i="11"/>
  <c r="H68" i="11"/>
  <c r="H69" i="11"/>
  <c r="H71" i="11"/>
  <c r="H72" i="11"/>
  <c r="H73" i="11"/>
  <c r="H77" i="11"/>
  <c r="H78" i="11"/>
  <c r="H79" i="11"/>
  <c r="H81" i="11"/>
  <c r="H82" i="11"/>
  <c r="H86" i="11"/>
  <c r="H87" i="11"/>
  <c r="H18" i="11"/>
  <c r="H28" i="11"/>
  <c r="H33" i="11"/>
  <c r="H40" i="11"/>
  <c r="H45" i="11"/>
  <c r="H47" i="11"/>
  <c r="L49" i="11"/>
  <c r="H52" i="11"/>
  <c r="I57" i="11"/>
  <c r="I59" i="11"/>
  <c r="I61" i="11"/>
  <c r="I65" i="11"/>
  <c r="I66" i="11"/>
  <c r="I67" i="11"/>
  <c r="I68" i="11"/>
  <c r="I69" i="11"/>
  <c r="I71" i="11"/>
  <c r="I72" i="11"/>
  <c r="I73" i="11"/>
  <c r="I77" i="11"/>
  <c r="I78" i="11"/>
  <c r="I79" i="11"/>
  <c r="I81" i="11"/>
  <c r="I82" i="11"/>
  <c r="I86" i="11"/>
  <c r="I87" i="11"/>
  <c r="I33" i="11"/>
  <c r="H51" i="11"/>
  <c r="K61" i="11"/>
  <c r="K68" i="11"/>
  <c r="K73" i="11"/>
  <c r="K81" i="11"/>
  <c r="K86" i="11"/>
  <c r="I40" i="11"/>
  <c r="I52" i="11"/>
  <c r="K65" i="11"/>
  <c r="K69" i="11"/>
  <c r="K77" i="11"/>
  <c r="L81" i="11"/>
  <c r="L86" i="11"/>
  <c r="I45" i="11"/>
  <c r="K57" i="11"/>
  <c r="K82" i="11"/>
  <c r="H23" i="11"/>
  <c r="K66" i="11"/>
  <c r="K71" i="11"/>
  <c r="K78" i="11"/>
  <c r="I28" i="11"/>
  <c r="I47" i="11"/>
  <c r="K59" i="11"/>
  <c r="K67" i="11"/>
  <c r="K72" i="11"/>
  <c r="K87" i="11"/>
  <c r="L87" i="11"/>
  <c r="K79" i="11"/>
  <c r="L82" i="11"/>
  <c r="H68" i="12"/>
  <c r="H39" i="12"/>
  <c r="K42" i="12"/>
  <c r="I69" i="12"/>
  <c r="L55" i="12"/>
  <c r="I8" i="12"/>
  <c r="I79" i="12"/>
  <c r="I75" i="12"/>
  <c r="I61" i="12"/>
  <c r="I57" i="12"/>
  <c r="H45" i="12"/>
  <c r="L37" i="12"/>
  <c r="I9" i="12"/>
  <c r="K61" i="12"/>
  <c r="H63" i="12"/>
  <c r="K64" i="12"/>
  <c r="I40" i="12"/>
  <c r="I78" i="12"/>
  <c r="H69" i="12"/>
  <c r="L78" i="12"/>
  <c r="L67" i="12"/>
  <c r="L58" i="12"/>
  <c r="L50" i="12"/>
  <c r="L42" i="12"/>
  <c r="L10" i="12"/>
  <c r="K63" i="12"/>
  <c r="K55" i="12"/>
  <c r="K39" i="12"/>
  <c r="L8" i="12"/>
  <c r="H77" i="12"/>
  <c r="I68" i="12"/>
  <c r="I59" i="12"/>
  <c r="I51" i="12"/>
  <c r="I43" i="12"/>
  <c r="K67" i="12"/>
  <c r="K38" i="12"/>
  <c r="I56" i="12"/>
  <c r="L68" i="12"/>
  <c r="L51" i="12"/>
  <c r="L80" i="12"/>
  <c r="H79" i="12"/>
  <c r="L75" i="12"/>
  <c r="K75" i="12"/>
  <c r="L61" i="12"/>
  <c r="L57" i="12"/>
  <c r="K57" i="12"/>
  <c r="L49" i="12"/>
  <c r="I49" i="12"/>
  <c r="I45" i="12"/>
  <c r="I37" i="12"/>
  <c r="L9" i="12"/>
  <c r="K9" i="12"/>
  <c r="L76" i="12"/>
  <c r="H74" i="12"/>
  <c r="H64" i="12"/>
  <c r="H60" i="12"/>
  <c r="H40" i="12"/>
  <c r="I74" i="12"/>
  <c r="K78" i="12"/>
  <c r="H56" i="12"/>
  <c r="H44" i="12"/>
  <c r="K8" i="12"/>
  <c r="I80" i="12"/>
  <c r="I62" i="12"/>
  <c r="I38" i="12"/>
  <c r="H76" i="12"/>
  <c r="H67" i="12"/>
  <c r="H58" i="12"/>
  <c r="H50" i="12"/>
  <c r="H42" i="12"/>
  <c r="H10" i="12"/>
  <c r="I39" i="12"/>
  <c r="H55" i="12"/>
  <c r="K58" i="12"/>
  <c r="K10" i="12"/>
  <c r="K62" i="12"/>
  <c r="K76" i="12"/>
  <c r="I44" i="12"/>
  <c r="L63" i="12"/>
  <c r="L43" i="12"/>
  <c r="L79" i="12"/>
  <c r="K49" i="12"/>
  <c r="L45" i="12"/>
  <c r="K45" i="12"/>
  <c r="K37" i="12"/>
  <c r="K79" i="12"/>
  <c r="H59" i="12"/>
  <c r="L74" i="12"/>
  <c r="L64" i="12"/>
  <c r="L60" i="12"/>
  <c r="L40" i="12"/>
  <c r="I64" i="12"/>
  <c r="H78" i="12"/>
  <c r="L69" i="12"/>
  <c r="L56" i="12"/>
  <c r="L44" i="12"/>
  <c r="I60" i="12"/>
  <c r="L62" i="12"/>
  <c r="L38" i="12"/>
  <c r="I77" i="12"/>
  <c r="K68" i="12"/>
  <c r="K59" i="12"/>
  <c r="K51" i="12"/>
  <c r="K43" i="12"/>
  <c r="I63" i="12"/>
  <c r="I55" i="12"/>
  <c r="H51" i="12"/>
  <c r="K50" i="12"/>
  <c r="K80" i="12"/>
  <c r="H8" i="12"/>
  <c r="L59" i="12"/>
  <c r="L39" i="12"/>
  <c r="H75" i="12"/>
  <c r="H61" i="12"/>
  <c r="H57" i="12"/>
  <c r="H49" i="12"/>
  <c r="H37" i="12"/>
  <c r="H9" i="12"/>
  <c r="L77" i="12"/>
  <c r="H43" i="12"/>
  <c r="K74" i="12"/>
  <c r="K60" i="12"/>
  <c r="K40" i="12"/>
  <c r="K69" i="12"/>
  <c r="K56" i="12"/>
  <c r="K44" i="12"/>
  <c r="K77" i="12"/>
  <c r="I76" i="12"/>
  <c r="I67" i="12"/>
  <c r="I58" i="12"/>
  <c r="I50" i="12"/>
  <c r="I42" i="12"/>
  <c r="I10" i="12"/>
  <c r="H80" i="12"/>
  <c r="H62" i="12"/>
  <c r="H38" i="12"/>
  <c r="X106" i="8"/>
  <c r="A106" i="8"/>
  <c r="Y96" i="8"/>
  <c r="X74" i="8"/>
  <c r="A74" i="8"/>
  <c r="Y66" i="8"/>
  <c r="X46" i="8"/>
  <c r="A46" i="8"/>
  <c r="Y44" i="8"/>
  <c r="X41" i="8"/>
  <c r="A41" i="8"/>
  <c r="X39" i="8"/>
  <c r="A39" i="8"/>
  <c r="Y35" i="8"/>
  <c r="Y31" i="8"/>
  <c r="X25" i="8"/>
  <c r="A25" i="8"/>
  <c r="X21" i="8"/>
  <c r="A21" i="8"/>
  <c r="A102" i="4"/>
  <c r="A100" i="4"/>
  <c r="A87" i="4"/>
  <c r="A80" i="4"/>
  <c r="A77" i="4"/>
  <c r="A56" i="4"/>
  <c r="A53" i="4"/>
  <c r="A34" i="4"/>
  <c r="A15" i="4"/>
  <c r="A6" i="4"/>
  <c r="A94" i="4"/>
  <c r="A73" i="4"/>
  <c r="A69" i="4"/>
  <c r="A67" i="4"/>
  <c r="A65" i="4"/>
  <c r="A63" i="4"/>
  <c r="A54" i="4"/>
  <c r="A48" i="4"/>
  <c r="A32" i="4"/>
  <c r="A28" i="4"/>
  <c r="A12" i="4"/>
  <c r="A10" i="4"/>
  <c r="A103" i="4"/>
  <c r="A101" i="4"/>
  <c r="A99" i="4"/>
  <c r="A91" i="4"/>
  <c r="A86" i="4"/>
  <c r="A81" i="4"/>
  <c r="A78" i="4"/>
  <c r="A76" i="4"/>
  <c r="A74" i="4"/>
  <c r="A55" i="4"/>
  <c r="A51" i="4"/>
  <c r="A46" i="4"/>
  <c r="A43" i="4"/>
  <c r="A41" i="4"/>
  <c r="A38" i="4"/>
  <c r="A35" i="4"/>
  <c r="A33" i="4"/>
  <c r="A30" i="4"/>
  <c r="A26" i="4"/>
  <c r="A23" i="4"/>
  <c r="A19" i="4"/>
  <c r="A16" i="4"/>
  <c r="A14" i="4"/>
  <c r="A8" i="4"/>
  <c r="A5" i="4"/>
  <c r="A98" i="4"/>
  <c r="A84" i="4"/>
  <c r="A75" i="4"/>
  <c r="A45" i="4"/>
  <c r="A42" i="4"/>
  <c r="A40" i="4"/>
  <c r="A36" i="4"/>
  <c r="A27" i="4"/>
  <c r="A25" i="4"/>
  <c r="A21" i="4"/>
  <c r="A17" i="4"/>
  <c r="A9" i="4"/>
  <c r="A4" i="4"/>
  <c r="A96" i="4"/>
  <c r="A90" i="4"/>
  <c r="A88" i="4"/>
  <c r="A85" i="4"/>
  <c r="A71" i="4"/>
  <c r="A61" i="4"/>
  <c r="A59" i="4"/>
  <c r="A57" i="4"/>
  <c r="A50" i="4"/>
  <c r="A22" i="4"/>
  <c r="A7" i="4"/>
  <c r="A97" i="4"/>
  <c r="A95" i="4"/>
  <c r="A93" i="4"/>
  <c r="A89" i="4"/>
  <c r="A82" i="4"/>
  <c r="A72" i="4"/>
  <c r="A70" i="4"/>
  <c r="A68" i="4"/>
  <c r="A66" i="4"/>
  <c r="A64" i="4"/>
  <c r="A62" i="4"/>
  <c r="A60" i="4"/>
  <c r="A58" i="4"/>
  <c r="A52" i="4"/>
  <c r="A49" i="4"/>
  <c r="A47" i="4"/>
  <c r="A39" i="4"/>
  <c r="A31" i="4"/>
  <c r="A24" i="4"/>
  <c r="A20" i="4"/>
  <c r="A11" i="4"/>
  <c r="A3" i="4"/>
  <c r="W87" i="12"/>
  <c r="W86" i="12"/>
  <c r="W85" i="12"/>
  <c r="W84" i="12"/>
  <c r="W83" i="12"/>
  <c r="W82" i="12"/>
  <c r="W81" i="12"/>
  <c r="W80" i="12"/>
  <c r="W79" i="12"/>
  <c r="W78" i="12"/>
  <c r="W77" i="12"/>
  <c r="W76" i="12"/>
  <c r="W75" i="12"/>
  <c r="W74" i="12"/>
  <c r="W69" i="12"/>
  <c r="W68" i="12"/>
  <c r="W67" i="12"/>
  <c r="W66" i="12"/>
  <c r="W64" i="12"/>
  <c r="W59" i="12"/>
  <c r="W58" i="12"/>
  <c r="W57" i="12"/>
  <c r="W56" i="12"/>
  <c r="W55" i="12"/>
  <c r="W54" i="12"/>
  <c r="W53" i="12"/>
  <c r="W52" i="12"/>
  <c r="W51" i="12"/>
  <c r="W50" i="12"/>
  <c r="W49" i="12"/>
  <c r="W47" i="12"/>
  <c r="W45" i="12"/>
  <c r="W44" i="12"/>
  <c r="W43" i="12"/>
  <c r="W42" i="12"/>
  <c r="W40" i="12"/>
  <c r="W39" i="12"/>
  <c r="W37" i="12"/>
  <c r="W35" i="12"/>
  <c r="W32" i="12"/>
  <c r="W30" i="12"/>
  <c r="W29" i="12"/>
  <c r="W16" i="12"/>
  <c r="W13" i="12"/>
  <c r="W12" i="12"/>
  <c r="W11" i="12"/>
  <c r="W10" i="12"/>
  <c r="W9" i="12"/>
  <c r="W8" i="12"/>
  <c r="S87" i="12"/>
  <c r="S86" i="12"/>
  <c r="S85" i="12"/>
  <c r="S84" i="12"/>
  <c r="S83" i="12"/>
  <c r="S82" i="12"/>
  <c r="S81" i="12"/>
  <c r="S52" i="12"/>
  <c r="S46" i="12"/>
  <c r="S41" i="12"/>
  <c r="S34" i="12"/>
  <c r="S31" i="12"/>
  <c r="S30" i="12"/>
  <c r="S29" i="12"/>
  <c r="S28" i="12"/>
  <c r="S27" i="12"/>
  <c r="S26" i="12"/>
  <c r="S25" i="12"/>
  <c r="S24" i="12"/>
  <c r="S23" i="12"/>
  <c r="S22" i="12"/>
  <c r="S21" i="12"/>
  <c r="S20" i="12"/>
  <c r="S19" i="12"/>
  <c r="S18" i="12"/>
  <c r="S17" i="12"/>
  <c r="S16" i="12"/>
  <c r="S15" i="12"/>
  <c r="S14" i="12"/>
  <c r="S13" i="12"/>
  <c r="S12" i="12"/>
  <c r="S11" i="12"/>
  <c r="R14" i="5"/>
  <c r="S14" i="5"/>
  <c r="T14" i="5"/>
  <c r="U14" i="5"/>
  <c r="V14" i="5"/>
  <c r="W14" i="5"/>
  <c r="R19" i="5"/>
  <c r="S19" i="5"/>
  <c r="T19" i="5"/>
  <c r="U19" i="5"/>
  <c r="V19" i="5"/>
  <c r="W19" i="5"/>
  <c r="R30" i="5"/>
  <c r="S30" i="5"/>
  <c r="T30" i="5"/>
  <c r="U30" i="5"/>
  <c r="V30" i="5"/>
  <c r="W30" i="5"/>
  <c r="R38" i="5"/>
  <c r="S38" i="5"/>
  <c r="T38" i="5"/>
  <c r="U38" i="5"/>
  <c r="V38" i="5"/>
  <c r="W38" i="5"/>
  <c r="R45" i="5"/>
  <c r="S45" i="5"/>
  <c r="T45" i="5"/>
  <c r="U45" i="5"/>
  <c r="V45" i="5"/>
  <c r="W45" i="5"/>
  <c r="T77" i="5"/>
  <c r="U77" i="5"/>
  <c r="V77" i="5"/>
  <c r="T78" i="5"/>
  <c r="U78" i="5"/>
  <c r="V78" i="5"/>
  <c r="T79" i="5"/>
  <c r="U79" i="5"/>
  <c r="V79" i="5"/>
  <c r="R80" i="5"/>
  <c r="S80" i="5"/>
  <c r="T80" i="5"/>
  <c r="U80" i="5"/>
  <c r="V80" i="5"/>
  <c r="W80" i="5"/>
  <c r="R84" i="5"/>
  <c r="S84" i="5"/>
  <c r="T84" i="5"/>
  <c r="U84" i="5"/>
  <c r="V84" i="5"/>
  <c r="W84" i="5"/>
  <c r="R93" i="5"/>
  <c r="S93" i="5"/>
  <c r="T93" i="5"/>
  <c r="U93" i="5"/>
  <c r="V93" i="5"/>
  <c r="W93" i="5"/>
  <c r="R106" i="5"/>
  <c r="S106" i="5"/>
  <c r="T106" i="5"/>
  <c r="U106" i="5"/>
  <c r="V106" i="5"/>
  <c r="W106" i="5"/>
  <c r="R115" i="2"/>
  <c r="S115" i="2"/>
  <c r="T115" i="2"/>
  <c r="U115" i="2"/>
  <c r="V115" i="2"/>
  <c r="W115" i="2"/>
  <c r="R5" i="7"/>
  <c r="S5" i="7"/>
  <c r="T5" i="7"/>
  <c r="U5" i="7"/>
  <c r="V5" i="7"/>
  <c r="W5" i="7"/>
  <c r="R6" i="7"/>
  <c r="S6" i="7"/>
  <c r="T6" i="7"/>
  <c r="U6" i="7"/>
  <c r="V6" i="7"/>
  <c r="W6" i="7"/>
  <c r="R7" i="7"/>
  <c r="S7" i="7"/>
  <c r="T7" i="7"/>
  <c r="U7" i="7"/>
  <c r="V7" i="7"/>
  <c r="W7" i="7"/>
  <c r="R9" i="7"/>
  <c r="S9" i="7"/>
  <c r="T9" i="7"/>
  <c r="U9" i="7"/>
  <c r="V9" i="7"/>
  <c r="W9" i="7"/>
  <c r="R10" i="7"/>
  <c r="S10" i="7"/>
  <c r="T10" i="7"/>
  <c r="U10" i="7"/>
  <c r="V10" i="7"/>
  <c r="W10" i="7"/>
  <c r="R11" i="7"/>
  <c r="S11" i="7"/>
  <c r="T11" i="7"/>
  <c r="U11" i="7"/>
  <c r="V11" i="7"/>
  <c r="W11" i="7"/>
  <c r="R12" i="7"/>
  <c r="S12" i="7"/>
  <c r="T12" i="7"/>
  <c r="U12" i="7"/>
  <c r="V12" i="7"/>
  <c r="W12" i="7"/>
  <c r="R13" i="7"/>
  <c r="S13" i="7"/>
  <c r="T13" i="7"/>
  <c r="U13" i="7"/>
  <c r="V13" i="7"/>
  <c r="W13" i="7"/>
  <c r="R14" i="7"/>
  <c r="S14" i="7"/>
  <c r="T14" i="7"/>
  <c r="U14" i="7"/>
  <c r="V14" i="7"/>
  <c r="W14" i="7"/>
  <c r="R15" i="7"/>
  <c r="S15" i="7"/>
  <c r="T15" i="7"/>
  <c r="U15" i="7"/>
  <c r="V15" i="7"/>
  <c r="W15" i="7"/>
  <c r="R16" i="7"/>
  <c r="S16" i="7"/>
  <c r="T16" i="7"/>
  <c r="U16" i="7"/>
  <c r="V16" i="7"/>
  <c r="W16" i="7"/>
  <c r="R17" i="7"/>
  <c r="S17" i="7"/>
  <c r="T17" i="7"/>
  <c r="U17" i="7"/>
  <c r="V17" i="7"/>
  <c r="W17" i="7"/>
  <c r="R18" i="7"/>
  <c r="S18" i="7"/>
  <c r="T18" i="7"/>
  <c r="U18" i="7"/>
  <c r="V18" i="7"/>
  <c r="W18" i="7"/>
  <c r="R19" i="7"/>
  <c r="S19" i="7"/>
  <c r="T19" i="7"/>
  <c r="U19" i="7"/>
  <c r="V19" i="7"/>
  <c r="W19" i="7"/>
  <c r="R20" i="7"/>
  <c r="S20" i="7"/>
  <c r="T20" i="7"/>
  <c r="U20" i="7"/>
  <c r="V20" i="7"/>
  <c r="W20" i="7"/>
  <c r="R21" i="7"/>
  <c r="S21" i="7"/>
  <c r="T21" i="7"/>
  <c r="U21" i="7"/>
  <c r="V21" i="7"/>
  <c r="W21" i="7"/>
  <c r="R22" i="7"/>
  <c r="S22" i="7"/>
  <c r="T22" i="7"/>
  <c r="U22" i="7"/>
  <c r="V22" i="7"/>
  <c r="W22" i="7"/>
  <c r="R23" i="7"/>
  <c r="S23" i="7"/>
  <c r="T23" i="7"/>
  <c r="U23" i="7"/>
  <c r="V23" i="7"/>
  <c r="W23" i="7"/>
  <c r="R24" i="7"/>
  <c r="S24" i="7"/>
  <c r="T24" i="7"/>
  <c r="U24" i="7"/>
  <c r="V24" i="7"/>
  <c r="W24" i="7"/>
  <c r="R25" i="7"/>
  <c r="S25" i="7"/>
  <c r="T25" i="7"/>
  <c r="U25" i="7"/>
  <c r="V25" i="7"/>
  <c r="W25" i="7"/>
  <c r="R26" i="7"/>
  <c r="S26" i="7"/>
  <c r="T26" i="7"/>
  <c r="U26" i="7"/>
  <c r="V26" i="7"/>
  <c r="W26" i="7"/>
  <c r="R27" i="7"/>
  <c r="S27" i="7"/>
  <c r="T27" i="7"/>
  <c r="U27" i="7"/>
  <c r="V27" i="7"/>
  <c r="W27" i="7"/>
  <c r="R28" i="7"/>
  <c r="S28" i="7"/>
  <c r="T28" i="7"/>
  <c r="U28" i="7"/>
  <c r="V28" i="7"/>
  <c r="W28" i="7"/>
  <c r="R29" i="7"/>
  <c r="S29" i="7"/>
  <c r="T29" i="7"/>
  <c r="U29" i="7"/>
  <c r="V29" i="7"/>
  <c r="W29" i="7"/>
  <c r="R30" i="7"/>
  <c r="S30" i="7"/>
  <c r="T30" i="7"/>
  <c r="U30" i="7"/>
  <c r="V30" i="7"/>
  <c r="W30" i="7"/>
  <c r="R31" i="7"/>
  <c r="S31" i="7"/>
  <c r="T31" i="7"/>
  <c r="U31" i="7"/>
  <c r="V31" i="7"/>
  <c r="W31" i="7"/>
  <c r="R32" i="7"/>
  <c r="S32" i="7"/>
  <c r="T32" i="7"/>
  <c r="U32" i="7"/>
  <c r="V32" i="7"/>
  <c r="W32" i="7"/>
  <c r="R33" i="7"/>
  <c r="S33" i="7"/>
  <c r="T33" i="7"/>
  <c r="U33" i="7"/>
  <c r="V33" i="7"/>
  <c r="W33" i="7"/>
  <c r="R34" i="7"/>
  <c r="S34" i="7"/>
  <c r="T34" i="7"/>
  <c r="U34" i="7"/>
  <c r="V34" i="7"/>
  <c r="W34" i="7"/>
  <c r="R35" i="7"/>
  <c r="S35" i="7"/>
  <c r="T35" i="7"/>
  <c r="U35" i="7"/>
  <c r="V35" i="7"/>
  <c r="W35" i="7"/>
  <c r="R36" i="7"/>
  <c r="S36" i="7"/>
  <c r="T36" i="7"/>
  <c r="U36" i="7"/>
  <c r="V36" i="7"/>
  <c r="W36" i="7"/>
  <c r="R37" i="7"/>
  <c r="S37" i="7"/>
  <c r="T37" i="7"/>
  <c r="U37" i="7"/>
  <c r="V37" i="7"/>
  <c r="W37" i="7"/>
  <c r="R38" i="7"/>
  <c r="S38" i="7"/>
  <c r="T38" i="7"/>
  <c r="U38" i="7"/>
  <c r="V38" i="7"/>
  <c r="W38" i="7"/>
  <c r="R39" i="7"/>
  <c r="S39" i="7"/>
  <c r="T39" i="7"/>
  <c r="U39" i="7"/>
  <c r="V39" i="7"/>
  <c r="W39" i="7"/>
  <c r="R40" i="7"/>
  <c r="S40" i="7"/>
  <c r="T40" i="7"/>
  <c r="U40" i="7"/>
  <c r="V40" i="7"/>
  <c r="W40" i="7"/>
  <c r="R41" i="7"/>
  <c r="S41" i="7"/>
  <c r="T41" i="7"/>
  <c r="U41" i="7"/>
  <c r="V41" i="7"/>
  <c r="W41" i="7"/>
  <c r="R42" i="7"/>
  <c r="S42" i="7"/>
  <c r="T42" i="7"/>
  <c r="U42" i="7"/>
  <c r="V42" i="7"/>
  <c r="W42" i="7"/>
  <c r="R43" i="7"/>
  <c r="S43" i="7"/>
  <c r="T43" i="7"/>
  <c r="U43" i="7"/>
  <c r="V43" i="7"/>
  <c r="W43" i="7"/>
  <c r="R44" i="7"/>
  <c r="S44" i="7"/>
  <c r="T44" i="7"/>
  <c r="U44" i="7"/>
  <c r="V44" i="7"/>
  <c r="W44" i="7"/>
  <c r="R45" i="7"/>
  <c r="S45" i="7"/>
  <c r="T45" i="7"/>
  <c r="U45" i="7"/>
  <c r="V45" i="7"/>
  <c r="W45" i="7"/>
  <c r="R46" i="7"/>
  <c r="S46" i="7"/>
  <c r="T46" i="7"/>
  <c r="U46" i="7"/>
  <c r="V46" i="7"/>
  <c r="W46" i="7"/>
  <c r="R47" i="7"/>
  <c r="S47" i="7"/>
  <c r="T47" i="7"/>
  <c r="U47" i="7"/>
  <c r="V47" i="7"/>
  <c r="W47" i="7"/>
  <c r="R48" i="7"/>
  <c r="S48" i="7"/>
  <c r="T48" i="7"/>
  <c r="U48" i="7"/>
  <c r="V48" i="7"/>
  <c r="W48" i="7"/>
  <c r="R49" i="7"/>
  <c r="S49" i="7"/>
  <c r="T49" i="7"/>
  <c r="U49" i="7"/>
  <c r="V49" i="7"/>
  <c r="W49" i="7"/>
  <c r="R50" i="7"/>
  <c r="S50" i="7"/>
  <c r="T50" i="7"/>
  <c r="U50" i="7"/>
  <c r="V50" i="7"/>
  <c r="W50" i="7"/>
  <c r="R51" i="7"/>
  <c r="S51" i="7"/>
  <c r="T51" i="7"/>
  <c r="U51" i="7"/>
  <c r="V51" i="7"/>
  <c r="W51" i="7"/>
  <c r="R52" i="7"/>
  <c r="S52" i="7"/>
  <c r="T52" i="7"/>
  <c r="U52" i="7"/>
  <c r="V52" i="7"/>
  <c r="W52" i="7"/>
  <c r="R53" i="7"/>
  <c r="S53" i="7"/>
  <c r="T53" i="7"/>
  <c r="U53" i="7"/>
  <c r="V53" i="7"/>
  <c r="W53" i="7"/>
  <c r="R54" i="7"/>
  <c r="S54" i="7"/>
  <c r="T54" i="7"/>
  <c r="U54" i="7"/>
  <c r="V54" i="7"/>
  <c r="W54" i="7"/>
  <c r="R55" i="7"/>
  <c r="S55" i="7"/>
  <c r="T55" i="7"/>
  <c r="U55" i="7"/>
  <c r="V55" i="7"/>
  <c r="W55" i="7"/>
  <c r="R56" i="7"/>
  <c r="S56" i="7"/>
  <c r="T56" i="7"/>
  <c r="U56" i="7"/>
  <c r="V56" i="7"/>
  <c r="W56" i="7"/>
  <c r="R57" i="7"/>
  <c r="S57" i="7"/>
  <c r="T57" i="7"/>
  <c r="U57" i="7"/>
  <c r="V57" i="7"/>
  <c r="W57" i="7"/>
  <c r="R58" i="7"/>
  <c r="S58" i="7"/>
  <c r="T58" i="7"/>
  <c r="U58" i="7"/>
  <c r="V58" i="7"/>
  <c r="W58" i="7"/>
  <c r="R59" i="7"/>
  <c r="S59" i="7"/>
  <c r="T59" i="7"/>
  <c r="U59" i="7"/>
  <c r="V59" i="7"/>
  <c r="W59" i="7"/>
  <c r="R60" i="7"/>
  <c r="S60" i="7"/>
  <c r="T60" i="7"/>
  <c r="U60" i="7"/>
  <c r="V60" i="7"/>
  <c r="W60" i="7"/>
  <c r="R61" i="7"/>
  <c r="S61" i="7"/>
  <c r="T61" i="7"/>
  <c r="U61" i="7"/>
  <c r="V61" i="7"/>
  <c r="W61" i="7"/>
  <c r="R62" i="7"/>
  <c r="S62" i="7"/>
  <c r="T62" i="7"/>
  <c r="U62" i="7"/>
  <c r="V62" i="7"/>
  <c r="W62" i="7"/>
  <c r="R63" i="7"/>
  <c r="S63" i="7"/>
  <c r="T63" i="7"/>
  <c r="U63" i="7"/>
  <c r="V63" i="7"/>
  <c r="W63" i="7"/>
  <c r="R64" i="7"/>
  <c r="S64" i="7"/>
  <c r="T64" i="7"/>
  <c r="U64" i="7"/>
  <c r="V64" i="7"/>
  <c r="W64" i="7"/>
  <c r="R65" i="7"/>
  <c r="S65" i="7"/>
  <c r="T65" i="7"/>
  <c r="U65" i="7"/>
  <c r="V65" i="7"/>
  <c r="W65" i="7"/>
  <c r="R66" i="7"/>
  <c r="S66" i="7"/>
  <c r="T66" i="7"/>
  <c r="U66" i="7"/>
  <c r="V66" i="7"/>
  <c r="W66" i="7"/>
  <c r="R67" i="7"/>
  <c r="S67" i="7"/>
  <c r="T67" i="7"/>
  <c r="U67" i="7"/>
  <c r="V67" i="7"/>
  <c r="W67" i="7"/>
  <c r="R68" i="7"/>
  <c r="S68" i="7"/>
  <c r="T68" i="7"/>
  <c r="U68" i="7"/>
  <c r="V68" i="7"/>
  <c r="W68" i="7"/>
  <c r="R69" i="7"/>
  <c r="S69" i="7"/>
  <c r="T69" i="7"/>
  <c r="U69" i="7"/>
  <c r="V69" i="7"/>
  <c r="W69" i="7"/>
  <c r="R70" i="7"/>
  <c r="S70" i="7"/>
  <c r="T70" i="7"/>
  <c r="U70" i="7"/>
  <c r="V70" i="7"/>
  <c r="W70" i="7"/>
  <c r="R71" i="7"/>
  <c r="S71" i="7"/>
  <c r="T71" i="7"/>
  <c r="U71" i="7"/>
  <c r="V71" i="7"/>
  <c r="W71" i="7"/>
  <c r="R72" i="7"/>
  <c r="S72" i="7"/>
  <c r="T72" i="7"/>
  <c r="U72" i="7"/>
  <c r="V72" i="7"/>
  <c r="W72" i="7"/>
  <c r="R73" i="7"/>
  <c r="S73" i="7"/>
  <c r="T73" i="7"/>
  <c r="U73" i="7"/>
  <c r="V73" i="7"/>
  <c r="W73" i="7"/>
  <c r="R74" i="7"/>
  <c r="S74" i="7"/>
  <c r="T74" i="7"/>
  <c r="U74" i="7"/>
  <c r="V74" i="7"/>
  <c r="W74" i="7"/>
  <c r="R75" i="7"/>
  <c r="S75" i="7"/>
  <c r="T75" i="7"/>
  <c r="U75" i="7"/>
  <c r="V75" i="7"/>
  <c r="W75" i="7"/>
  <c r="R76" i="7"/>
  <c r="S76" i="7"/>
  <c r="T76" i="7"/>
  <c r="U76" i="7"/>
  <c r="V76" i="7"/>
  <c r="W76" i="7"/>
  <c r="R77" i="7"/>
  <c r="S77" i="7"/>
  <c r="T77" i="7"/>
  <c r="U77" i="7"/>
  <c r="V77" i="7"/>
  <c r="W77" i="7"/>
  <c r="R78" i="7"/>
  <c r="S78" i="7"/>
  <c r="T78" i="7"/>
  <c r="U78" i="7"/>
  <c r="V78" i="7"/>
  <c r="W78" i="7"/>
  <c r="R79" i="7"/>
  <c r="S79" i="7"/>
  <c r="T79" i="7"/>
  <c r="U79" i="7"/>
  <c r="V79" i="7"/>
  <c r="W79" i="7"/>
  <c r="R80" i="7"/>
  <c r="S80" i="7"/>
  <c r="T80" i="7"/>
  <c r="U80" i="7"/>
  <c r="V80" i="7"/>
  <c r="W80" i="7"/>
  <c r="R81" i="7"/>
  <c r="S81" i="7"/>
  <c r="T81" i="7"/>
  <c r="U81" i="7"/>
  <c r="V81" i="7"/>
  <c r="W81" i="7"/>
  <c r="R82" i="7"/>
  <c r="S82" i="7"/>
  <c r="T82" i="7"/>
  <c r="U82" i="7"/>
  <c r="V82" i="7"/>
  <c r="W82" i="7"/>
  <c r="R83" i="7"/>
  <c r="S83" i="7"/>
  <c r="T83" i="7"/>
  <c r="U83" i="7"/>
  <c r="V83" i="7"/>
  <c r="W83" i="7"/>
  <c r="R84" i="7"/>
  <c r="S84" i="7"/>
  <c r="T84" i="7"/>
  <c r="U84" i="7"/>
  <c r="V84" i="7"/>
  <c r="W84" i="7"/>
  <c r="R85" i="7"/>
  <c r="S85" i="7"/>
  <c r="T85" i="7"/>
  <c r="U85" i="7"/>
  <c r="V85" i="7"/>
  <c r="W85" i="7"/>
  <c r="R86" i="7"/>
  <c r="S86" i="7"/>
  <c r="T86" i="7"/>
  <c r="U86" i="7"/>
  <c r="V86" i="7"/>
  <c r="W86" i="7"/>
  <c r="R87" i="7"/>
  <c r="S87" i="7"/>
  <c r="T87" i="7"/>
  <c r="U87" i="7"/>
  <c r="V87" i="7"/>
  <c r="W87" i="7"/>
  <c r="R88" i="7"/>
  <c r="S88" i="7"/>
  <c r="T88" i="7"/>
  <c r="U88" i="7"/>
  <c r="V88" i="7"/>
  <c r="W88" i="7"/>
  <c r="R89" i="7"/>
  <c r="S89" i="7"/>
  <c r="T89" i="7"/>
  <c r="U89" i="7"/>
  <c r="V89" i="7"/>
  <c r="W89" i="7"/>
  <c r="R90" i="7"/>
  <c r="S90" i="7"/>
  <c r="T90" i="7"/>
  <c r="U90" i="7"/>
  <c r="V90" i="7"/>
  <c r="W90" i="7"/>
  <c r="R91" i="7"/>
  <c r="S91" i="7"/>
  <c r="T91" i="7"/>
  <c r="U91" i="7"/>
  <c r="V91" i="7"/>
  <c r="W91" i="7"/>
  <c r="R92" i="7"/>
  <c r="S92" i="7"/>
  <c r="T92" i="7"/>
  <c r="U92" i="7"/>
  <c r="V92" i="7"/>
  <c r="W92" i="7"/>
  <c r="R93" i="7"/>
  <c r="S93" i="7"/>
  <c r="T93" i="7"/>
  <c r="U93" i="7"/>
  <c r="V93" i="7"/>
  <c r="W93" i="7"/>
  <c r="R94" i="7"/>
  <c r="S94" i="7"/>
  <c r="T94" i="7"/>
  <c r="U94" i="7"/>
  <c r="V94" i="7"/>
  <c r="W94" i="7"/>
  <c r="R95" i="7"/>
  <c r="S95" i="7"/>
  <c r="T95" i="7"/>
  <c r="U95" i="7"/>
  <c r="V95" i="7"/>
  <c r="W95" i="7"/>
  <c r="R96" i="7"/>
  <c r="S96" i="7"/>
  <c r="T96" i="7"/>
  <c r="U96" i="7"/>
  <c r="V96" i="7"/>
  <c r="W96" i="7"/>
  <c r="R97" i="7"/>
  <c r="S97" i="7"/>
  <c r="T97" i="7"/>
  <c r="U97" i="7"/>
  <c r="V97" i="7"/>
  <c r="W97" i="7"/>
  <c r="R98" i="7"/>
  <c r="S98" i="7"/>
  <c r="T98" i="7"/>
  <c r="U98" i="7"/>
  <c r="V98" i="7"/>
  <c r="W98" i="7"/>
  <c r="R99" i="7"/>
  <c r="S99" i="7"/>
  <c r="T99" i="7"/>
  <c r="U99" i="7"/>
  <c r="V99" i="7"/>
  <c r="W99" i="7"/>
  <c r="R100" i="7"/>
  <c r="S100" i="7"/>
  <c r="T100" i="7"/>
  <c r="U100" i="7"/>
  <c r="V100" i="7"/>
  <c r="W100" i="7"/>
  <c r="R101" i="7"/>
  <c r="S101" i="7"/>
  <c r="T101" i="7"/>
  <c r="U101" i="7"/>
  <c r="V101" i="7"/>
  <c r="W101" i="7"/>
  <c r="R102" i="7"/>
  <c r="S102" i="7"/>
  <c r="T102" i="7"/>
  <c r="U102" i="7"/>
  <c r="V102" i="7"/>
  <c r="W102" i="7"/>
  <c r="R103" i="7"/>
  <c r="S103" i="7"/>
  <c r="T103" i="7"/>
  <c r="U103" i="7"/>
  <c r="V103" i="7"/>
  <c r="W103" i="7"/>
  <c r="R104" i="7"/>
  <c r="S104" i="7"/>
  <c r="T104" i="7"/>
  <c r="U104" i="7"/>
  <c r="V104" i="7"/>
  <c r="W104" i="7"/>
  <c r="R105" i="7"/>
  <c r="S105" i="7"/>
  <c r="T105" i="7"/>
  <c r="U105" i="7"/>
  <c r="V105" i="7"/>
  <c r="W105" i="7"/>
  <c r="R106" i="7"/>
  <c r="S106" i="7"/>
  <c r="T106" i="7"/>
  <c r="U106" i="7"/>
  <c r="V106" i="7"/>
  <c r="W106" i="7"/>
  <c r="R107" i="7"/>
  <c r="S107" i="7"/>
  <c r="T107" i="7"/>
  <c r="U107" i="7"/>
  <c r="V107" i="7"/>
  <c r="W107" i="7"/>
  <c r="R108" i="7"/>
  <c r="S108" i="7"/>
  <c r="T108" i="7"/>
  <c r="U108" i="7"/>
  <c r="V108" i="7"/>
  <c r="W108" i="7"/>
  <c r="R109" i="7"/>
  <c r="S109" i="7"/>
  <c r="T109" i="7"/>
  <c r="U109" i="7"/>
  <c r="V109" i="7"/>
  <c r="W109" i="7"/>
  <c r="R110" i="7"/>
  <c r="S110" i="7"/>
  <c r="T110" i="7"/>
  <c r="U110" i="7"/>
  <c r="V110" i="7"/>
  <c r="W110" i="7"/>
  <c r="R111" i="7"/>
  <c r="S111" i="7"/>
  <c r="T111" i="7"/>
  <c r="U111" i="7"/>
  <c r="V111" i="7"/>
  <c r="W111" i="7"/>
  <c r="R112" i="7"/>
  <c r="S112" i="7"/>
  <c r="T112" i="7"/>
  <c r="U112" i="7"/>
  <c r="V112" i="7"/>
  <c r="W112" i="7"/>
  <c r="R113" i="7"/>
  <c r="S113" i="7"/>
  <c r="T113" i="7"/>
  <c r="U113" i="7"/>
  <c r="V113" i="7"/>
  <c r="W113" i="7"/>
  <c r="S4" i="7"/>
  <c r="T4" i="7"/>
  <c r="U4" i="7"/>
  <c r="V4" i="7"/>
  <c r="W4" i="7"/>
  <c r="R4" i="7"/>
  <c r="U7" i="11"/>
  <c r="T7" i="11"/>
  <c r="T9" i="12"/>
  <c r="T10" i="12"/>
  <c r="T11" i="12"/>
  <c r="T12" i="12"/>
  <c r="T13" i="12"/>
  <c r="T14" i="12"/>
  <c r="T15" i="12"/>
  <c r="T16" i="12"/>
  <c r="T17" i="12"/>
  <c r="T18" i="12"/>
  <c r="T19" i="12"/>
  <c r="T20" i="12"/>
  <c r="T21" i="12"/>
  <c r="T22" i="12"/>
  <c r="T23" i="12"/>
  <c r="T24" i="12"/>
  <c r="T25" i="12"/>
  <c r="T26" i="12"/>
  <c r="T27" i="12"/>
  <c r="T28" i="12"/>
  <c r="T29" i="12"/>
  <c r="T30" i="12"/>
  <c r="T31" i="12"/>
  <c r="T32" i="12"/>
  <c r="T33" i="12"/>
  <c r="T34" i="12"/>
  <c r="T35" i="12"/>
  <c r="T36" i="12"/>
  <c r="T37" i="12"/>
  <c r="T38" i="12"/>
  <c r="T39" i="12"/>
  <c r="T40" i="12"/>
  <c r="T41" i="12"/>
  <c r="T42" i="12"/>
  <c r="T43" i="12"/>
  <c r="T44" i="12"/>
  <c r="T45" i="12"/>
  <c r="T46" i="12"/>
  <c r="T47" i="12"/>
  <c r="T48" i="12"/>
  <c r="T49" i="12"/>
  <c r="T50" i="12"/>
  <c r="T51" i="12"/>
  <c r="T52" i="12"/>
  <c r="T53" i="12"/>
  <c r="T54" i="12"/>
  <c r="T55" i="12"/>
  <c r="T56" i="12"/>
  <c r="T57" i="12"/>
  <c r="T58" i="12"/>
  <c r="T59" i="12"/>
  <c r="T60" i="12"/>
  <c r="T61" i="12"/>
  <c r="T62" i="12"/>
  <c r="T63" i="12"/>
  <c r="T64" i="12"/>
  <c r="T66" i="12"/>
  <c r="T67" i="12"/>
  <c r="T68" i="12"/>
  <c r="T69" i="12"/>
  <c r="T70" i="12"/>
  <c r="T71" i="12"/>
  <c r="T72" i="12"/>
  <c r="T74" i="12"/>
  <c r="T75" i="12"/>
  <c r="T76" i="12"/>
  <c r="T77" i="12"/>
  <c r="T78" i="12"/>
  <c r="T79" i="12"/>
  <c r="T80" i="12"/>
  <c r="T81" i="12"/>
  <c r="T82" i="12"/>
  <c r="T83" i="12"/>
  <c r="T84" i="12"/>
  <c r="T85" i="12"/>
  <c r="T86" i="12"/>
  <c r="T87" i="12"/>
  <c r="U8" i="12"/>
  <c r="U7" i="12"/>
  <c r="T8" i="12"/>
  <c r="T7" i="12"/>
  <c r="U9" i="12"/>
  <c r="A80" i="5"/>
  <c r="J11" i="11" l="1"/>
  <c r="J20" i="11"/>
  <c r="J50" i="11"/>
  <c r="J63" i="11"/>
  <c r="J17" i="11"/>
  <c r="J16" i="11"/>
  <c r="J25" i="11"/>
  <c r="J8" i="11"/>
  <c r="J54" i="12"/>
  <c r="J14" i="11"/>
  <c r="J54" i="11"/>
  <c r="J62" i="11"/>
  <c r="J22" i="11"/>
  <c r="J48" i="11"/>
  <c r="J44" i="11"/>
  <c r="J31" i="12"/>
  <c r="J12" i="12"/>
  <c r="J18" i="12"/>
  <c r="J13" i="11"/>
  <c r="J31" i="11"/>
  <c r="J29" i="12"/>
  <c r="J17" i="12"/>
  <c r="J85" i="12"/>
  <c r="J35" i="12"/>
  <c r="J19" i="11"/>
  <c r="J81" i="12"/>
  <c r="J66" i="12"/>
  <c r="J16" i="12"/>
  <c r="J53" i="12"/>
  <c r="J11" i="12"/>
  <c r="J76" i="11"/>
  <c r="J64" i="11"/>
  <c r="J10" i="11"/>
  <c r="J83" i="12"/>
  <c r="J32" i="12"/>
  <c r="J58" i="11"/>
  <c r="J53" i="11"/>
  <c r="J84" i="12"/>
  <c r="J47" i="12"/>
  <c r="J87" i="12"/>
  <c r="J13" i="12"/>
  <c r="J86" i="12"/>
  <c r="J52" i="12"/>
  <c r="J30" i="12"/>
  <c r="J14" i="12"/>
  <c r="J43" i="11"/>
  <c r="J12" i="11"/>
  <c r="J82" i="12"/>
  <c r="J9" i="11"/>
  <c r="J51" i="11"/>
  <c r="J47" i="11"/>
  <c r="J71" i="11"/>
  <c r="J79" i="11"/>
  <c r="J59" i="11"/>
  <c r="J87" i="11"/>
  <c r="J67" i="11"/>
  <c r="J80" i="12"/>
  <c r="J77" i="12"/>
  <c r="J49" i="12"/>
  <c r="J74" i="12"/>
  <c r="J60" i="12"/>
  <c r="J40" i="12"/>
  <c r="J56" i="12"/>
  <c r="J44" i="12"/>
  <c r="J78" i="11"/>
  <c r="J33" i="11"/>
  <c r="J69" i="11"/>
  <c r="J49" i="11"/>
  <c r="J40" i="11"/>
  <c r="J37" i="12"/>
  <c r="J46" i="11"/>
  <c r="J32" i="11"/>
  <c r="J63" i="12"/>
  <c r="J76" i="12"/>
  <c r="J69" i="12"/>
  <c r="J68" i="12"/>
  <c r="J62" i="12"/>
  <c r="J38" i="12"/>
  <c r="J55" i="12"/>
  <c r="J43" i="12"/>
  <c r="J66" i="11"/>
  <c r="J81" i="11"/>
  <c r="J65" i="11"/>
  <c r="J45" i="11"/>
  <c r="J72" i="11"/>
  <c r="J36" i="11"/>
  <c r="J75" i="12"/>
  <c r="J61" i="12"/>
  <c r="J57" i="12"/>
  <c r="J9" i="12"/>
  <c r="J51" i="12"/>
  <c r="J39" i="12"/>
  <c r="J86" i="11"/>
  <c r="J77" i="11"/>
  <c r="J68" i="11"/>
  <c r="J8" i="12"/>
  <c r="J79" i="12"/>
  <c r="J45" i="12"/>
  <c r="J64" i="12"/>
  <c r="J78" i="12"/>
  <c r="J67" i="12"/>
  <c r="J58" i="12"/>
  <c r="J50" i="12"/>
  <c r="J42" i="12"/>
  <c r="J10" i="12"/>
  <c r="J59" i="12"/>
  <c r="J82" i="11"/>
  <c r="J42" i="11"/>
  <c r="J73" i="11"/>
  <c r="J57" i="11"/>
  <c r="J28" i="11"/>
  <c r="J52" i="11"/>
  <c r="J23" i="11"/>
  <c r="J61" i="11"/>
  <c r="J27" i="11"/>
  <c r="J18" i="11"/>
  <c r="X115" i="2"/>
  <c r="X84" i="5"/>
  <c r="X80" i="5"/>
  <c r="X14" i="5"/>
  <c r="X106" i="5"/>
  <c r="X93" i="5"/>
  <c r="X45" i="5"/>
  <c r="X19" i="5"/>
  <c r="X6" i="7"/>
  <c r="X4" i="7"/>
  <c r="X5" i="7"/>
  <c r="X38" i="5"/>
  <c r="X30" i="5"/>
  <c r="X109" i="7"/>
  <c r="X101" i="7"/>
  <c r="X93" i="7"/>
  <c r="X89" i="7"/>
  <c r="X81" i="7"/>
  <c r="X75" i="7"/>
  <c r="X71" i="7"/>
  <c r="X69" i="7"/>
  <c r="X65" i="7"/>
  <c r="X61" i="7"/>
  <c r="S48" i="12" s="1"/>
  <c r="X57" i="7"/>
  <c r="X55" i="7"/>
  <c r="X52" i="7"/>
  <c r="X49" i="7"/>
  <c r="X47" i="7"/>
  <c r="X45" i="7"/>
  <c r="X43" i="7"/>
  <c r="X40" i="7"/>
  <c r="S32" i="12" s="1"/>
  <c r="X39" i="7"/>
  <c r="X37" i="7"/>
  <c r="X33" i="7"/>
  <c r="X31" i="7"/>
  <c r="X29" i="7"/>
  <c r="X15" i="7"/>
  <c r="X111" i="7"/>
  <c r="X107" i="7"/>
  <c r="X99" i="7"/>
  <c r="X97" i="7"/>
  <c r="X95" i="7"/>
  <c r="X91" i="7"/>
  <c r="S68" i="12" s="1"/>
  <c r="X87" i="7"/>
  <c r="S9" i="12" s="1"/>
  <c r="X85" i="7"/>
  <c r="X83" i="7"/>
  <c r="X79" i="7"/>
  <c r="X77" i="7"/>
  <c r="X73" i="7"/>
  <c r="X67" i="7"/>
  <c r="X63" i="7"/>
  <c r="X59" i="7"/>
  <c r="X53" i="7"/>
  <c r="X51" i="7"/>
  <c r="X48" i="7"/>
  <c r="X44" i="7"/>
  <c r="X41" i="7"/>
  <c r="X36" i="7"/>
  <c r="X35" i="7"/>
  <c r="X32" i="7"/>
  <c r="X28" i="7"/>
  <c r="X27" i="7"/>
  <c r="X14" i="7"/>
  <c r="X13" i="7"/>
  <c r="X11" i="7"/>
  <c r="X112" i="7"/>
  <c r="X110" i="7"/>
  <c r="X108" i="7"/>
  <c r="X102" i="7"/>
  <c r="X100" i="7"/>
  <c r="X98" i="7"/>
  <c r="X96" i="7"/>
  <c r="X94" i="7"/>
  <c r="X92" i="7"/>
  <c r="X90" i="7"/>
  <c r="X88" i="7"/>
  <c r="X86" i="7"/>
  <c r="X84" i="7"/>
  <c r="X82" i="7"/>
  <c r="S38" i="12" s="1"/>
  <c r="X80" i="7"/>
  <c r="X78" i="7"/>
  <c r="X76" i="7"/>
  <c r="X74" i="7"/>
  <c r="S8" i="12" s="1"/>
  <c r="X72" i="7"/>
  <c r="X70" i="7"/>
  <c r="X68" i="7"/>
  <c r="X66" i="7"/>
  <c r="X64" i="7"/>
  <c r="X62" i="7"/>
  <c r="X60" i="7"/>
  <c r="X58" i="7"/>
  <c r="X56" i="7"/>
  <c r="X54" i="7"/>
  <c r="X50" i="7"/>
  <c r="X46" i="7"/>
  <c r="X42" i="7"/>
  <c r="X38" i="7"/>
  <c r="X34" i="7"/>
  <c r="X30" i="7"/>
  <c r="X16" i="7"/>
  <c r="X12" i="7"/>
  <c r="S53" i="12"/>
  <c r="X105" i="7"/>
  <c r="X106" i="7"/>
  <c r="X10" i="7"/>
  <c r="X9" i="7"/>
  <c r="X104" i="7"/>
  <c r="X24" i="7"/>
  <c r="X20" i="7"/>
  <c r="X18" i="7"/>
  <c r="X7" i="7"/>
  <c r="X103" i="7"/>
  <c r="S36" i="12" s="1"/>
  <c r="X17" i="7"/>
  <c r="X21" i="7"/>
  <c r="X22" i="7"/>
  <c r="X23" i="7"/>
  <c r="X19" i="7"/>
  <c r="S66" i="12" s="1"/>
  <c r="X26" i="7"/>
  <c r="X25" i="7"/>
  <c r="S47" i="12" s="1"/>
  <c r="S49" i="12" l="1"/>
  <c r="S40" i="12"/>
  <c r="S64" i="12"/>
  <c r="S39" i="12"/>
  <c r="S56" i="12"/>
  <c r="S60" i="12"/>
  <c r="S54" i="12"/>
  <c r="S63" i="12"/>
  <c r="S43" i="12"/>
  <c r="S51" i="12"/>
  <c r="S58" i="12"/>
  <c r="S62" i="12"/>
  <c r="S70" i="12"/>
  <c r="S79" i="12"/>
  <c r="S74" i="12"/>
  <c r="S80" i="12"/>
  <c r="S57" i="12"/>
  <c r="S61" i="12"/>
  <c r="S77" i="12"/>
  <c r="S37" i="12"/>
  <c r="S50" i="12"/>
  <c r="S42" i="12"/>
  <c r="S45" i="12"/>
  <c r="S44" i="12"/>
  <c r="S59" i="12"/>
  <c r="W61" i="12"/>
  <c r="W31" i="12"/>
  <c r="W14" i="12"/>
  <c r="W60" i="12"/>
  <c r="W38" i="12"/>
  <c r="W62" i="12"/>
  <c r="S69" i="12"/>
  <c r="S71" i="12"/>
  <c r="S10" i="12"/>
  <c r="S55" i="12"/>
  <c r="S78" i="12"/>
  <c r="S76" i="12"/>
  <c r="S67" i="12"/>
  <c r="S33" i="12"/>
  <c r="S72" i="12"/>
  <c r="S75" i="12"/>
  <c r="U10" i="12"/>
  <c r="U11" i="12" l="1"/>
  <c r="U12" i="12" l="1"/>
  <c r="U13" i="12" l="1"/>
  <c r="U14" i="12" l="1"/>
  <c r="A93" i="5"/>
  <c r="A84" i="5"/>
  <c r="A45" i="5"/>
  <c r="A38" i="5"/>
  <c r="A30" i="5"/>
  <c r="A19" i="5"/>
  <c r="A14" i="5"/>
  <c r="A3" i="5"/>
  <c r="U15" i="12" l="1"/>
  <c r="U16" i="12" l="1"/>
  <c r="U17" i="12" l="1"/>
  <c r="U18" i="12" l="1"/>
  <c r="U19" i="12" l="1"/>
  <c r="U20" i="12" l="1"/>
  <c r="U21" i="12" l="1"/>
  <c r="U22" i="12" l="1"/>
  <c r="U23" i="12" l="1"/>
  <c r="U24" i="12" l="1"/>
  <c r="U25" i="12" l="1"/>
  <c r="U26" i="12" l="1"/>
  <c r="U27" i="12" l="1"/>
  <c r="U28" i="12" l="1"/>
  <c r="U29" i="12" l="1"/>
  <c r="U30" i="12" l="1"/>
  <c r="U31" i="12" l="1"/>
  <c r="U32" i="12" l="1"/>
  <c r="U33" i="12" l="1"/>
  <c r="U34" i="12" l="1"/>
  <c r="U35" i="12" l="1"/>
  <c r="U36" i="12" l="1"/>
  <c r="U37" i="12" l="1"/>
  <c r="U38" i="12" l="1"/>
  <c r="U39" i="12" l="1"/>
  <c r="U40" i="12" l="1"/>
  <c r="U41" i="12" l="1"/>
  <c r="U42" i="12" l="1"/>
  <c r="U43" i="12" l="1"/>
  <c r="U44" i="12" l="1"/>
  <c r="U45" i="12" l="1"/>
  <c r="U46" i="12" l="1"/>
  <c r="U47" i="12" l="1"/>
  <c r="U48" i="12" l="1"/>
  <c r="U49" i="12" l="1"/>
  <c r="U50" i="12" l="1"/>
  <c r="U51" i="12" l="1"/>
  <c r="U52" i="12" l="1"/>
  <c r="U53" i="12" l="1"/>
  <c r="U54" i="12" l="1"/>
  <c r="U55" i="12" l="1"/>
  <c r="U56" i="12" l="1"/>
  <c r="U57" i="12" l="1"/>
  <c r="U58" i="12" l="1"/>
  <c r="U59" i="12" l="1"/>
  <c r="U60" i="12" l="1"/>
  <c r="U61" i="12" l="1"/>
  <c r="U62" i="12" l="1"/>
  <c r="U63" i="12" l="1"/>
  <c r="U64" i="12" l="1"/>
  <c r="U66" i="12" l="1"/>
  <c r="U67" i="12" l="1"/>
  <c r="U68" i="12" l="1"/>
  <c r="U69" i="12" l="1"/>
  <c r="U70" i="12" l="1"/>
  <c r="U71" i="12" l="1"/>
  <c r="U72" i="12" l="1"/>
  <c r="U74" i="12" l="1"/>
  <c r="U75" i="12" l="1"/>
  <c r="U76" i="12" l="1"/>
  <c r="U77" i="12" l="1"/>
  <c r="U78" i="12" l="1"/>
  <c r="U79" i="12" l="1"/>
  <c r="U80" i="12" l="1"/>
  <c r="U81" i="12" l="1"/>
  <c r="U82" i="12" l="1"/>
  <c r="U83" i="12" l="1"/>
  <c r="U84" i="12" l="1"/>
  <c r="U85" i="12" l="1"/>
  <c r="H87" i="12" l="1"/>
  <c r="H11" i="11"/>
  <c r="I87" i="12" l="1"/>
  <c r="I11" i="11"/>
  <c r="A107" i="5" l="1"/>
  <c r="V107" i="5" l="1"/>
  <c r="U107" i="5"/>
  <c r="S107" i="5"/>
  <c r="W107" i="5"/>
  <c r="R107" i="5"/>
  <c r="T107" i="5"/>
  <c r="X107" i="5" l="1"/>
  <c r="A102" i="5" l="1"/>
  <c r="A8" i="5"/>
  <c r="A6" i="5"/>
  <c r="A99" i="5"/>
  <c r="A97" i="5"/>
  <c r="A95" i="5"/>
  <c r="A92" i="5"/>
  <c r="A90" i="5"/>
  <c r="A88" i="5"/>
  <c r="A86" i="5"/>
  <c r="A83" i="5"/>
  <c r="A81" i="5"/>
  <c r="A78" i="5"/>
  <c r="A76" i="5"/>
  <c r="A74" i="5"/>
  <c r="A72" i="5"/>
  <c r="A70" i="5"/>
  <c r="A68" i="5"/>
  <c r="A66" i="5"/>
  <c r="A64" i="5"/>
  <c r="A62" i="5"/>
  <c r="A60" i="5"/>
  <c r="A58" i="5"/>
  <c r="A56" i="5"/>
  <c r="A54" i="5"/>
  <c r="A52" i="5"/>
  <c r="A50" i="5"/>
  <c r="A48" i="5"/>
  <c r="A46" i="5"/>
  <c r="A43" i="5"/>
  <c r="A41" i="5"/>
  <c r="A39" i="5"/>
  <c r="A36" i="5"/>
  <c r="A34" i="5"/>
  <c r="A32" i="5"/>
  <c r="A22" i="5"/>
  <c r="A28" i="5"/>
  <c r="A18" i="5"/>
  <c r="A16" i="5"/>
  <c r="A13" i="5"/>
  <c r="A104" i="5"/>
  <c r="A10" i="5"/>
  <c r="A24" i="5"/>
  <c r="A7" i="5"/>
  <c r="A5" i="5"/>
  <c r="A100" i="5"/>
  <c r="A98" i="5"/>
  <c r="A96" i="5"/>
  <c r="A94" i="5"/>
  <c r="A91" i="5"/>
  <c r="A89" i="5"/>
  <c r="A87" i="5"/>
  <c r="A85" i="5"/>
  <c r="A82" i="5"/>
  <c r="A79" i="5"/>
  <c r="A77" i="5"/>
  <c r="A75" i="5"/>
  <c r="A73" i="5"/>
  <c r="A71" i="5"/>
  <c r="A69" i="5"/>
  <c r="A67" i="5"/>
  <c r="A65" i="5"/>
  <c r="A63" i="5"/>
  <c r="A61" i="5"/>
  <c r="A59" i="5"/>
  <c r="A57" i="5"/>
  <c r="A55" i="5"/>
  <c r="A53" i="5"/>
  <c r="A51" i="5"/>
  <c r="A49" i="5"/>
  <c r="A47" i="5"/>
  <c r="A44" i="5"/>
  <c r="A42" i="5"/>
  <c r="A40" i="5"/>
  <c r="A37" i="5"/>
  <c r="A35" i="5"/>
  <c r="A33" i="5"/>
  <c r="A31" i="5"/>
  <c r="A20" i="5"/>
  <c r="A17" i="5"/>
  <c r="A15" i="5"/>
  <c r="A26" i="5"/>
  <c r="A11" i="5"/>
  <c r="T4" i="5"/>
  <c r="W4" i="5"/>
  <c r="S4" i="5"/>
  <c r="V4" i="5"/>
  <c r="U4" i="5"/>
  <c r="R4" i="5"/>
  <c r="X4" i="5" l="1"/>
  <c r="V11" i="12" s="1"/>
  <c r="A4" i="5"/>
  <c r="W15" i="5"/>
  <c r="U15" i="5"/>
  <c r="V15" i="5"/>
  <c r="R15" i="5"/>
  <c r="S15" i="5"/>
  <c r="T15" i="5"/>
  <c r="R17" i="5"/>
  <c r="W17" i="5"/>
  <c r="S17" i="5"/>
  <c r="T17" i="5"/>
  <c r="V17" i="5"/>
  <c r="U17" i="5"/>
  <c r="T39" i="5"/>
  <c r="S39" i="5"/>
  <c r="R39" i="5"/>
  <c r="W39" i="5"/>
  <c r="V39" i="5"/>
  <c r="U39" i="5"/>
  <c r="T41" i="5"/>
  <c r="S41" i="5"/>
  <c r="V41" i="5"/>
  <c r="R41" i="5"/>
  <c r="U41" i="5"/>
  <c r="W41" i="5"/>
  <c r="V43" i="5"/>
  <c r="U43" i="5"/>
  <c r="T43" i="5"/>
  <c r="W43" i="5"/>
  <c r="R43" i="5"/>
  <c r="S43" i="5"/>
  <c r="U95" i="5"/>
  <c r="W95" i="5"/>
  <c r="V95" i="5"/>
  <c r="R95" i="5"/>
  <c r="T95" i="5"/>
  <c r="S95" i="5"/>
  <c r="V97" i="5"/>
  <c r="T97" i="5"/>
  <c r="R97" i="5"/>
  <c r="W97" i="5"/>
  <c r="U97" i="5"/>
  <c r="S97" i="5"/>
  <c r="S99" i="5"/>
  <c r="T99" i="5"/>
  <c r="V99" i="5"/>
  <c r="R99" i="5"/>
  <c r="W99" i="5"/>
  <c r="U99" i="5"/>
  <c r="U6" i="5"/>
  <c r="W6" i="5"/>
  <c r="S6" i="5"/>
  <c r="V6" i="5"/>
  <c r="T6" i="5"/>
  <c r="R6" i="5"/>
  <c r="V8" i="5"/>
  <c r="S8" i="5"/>
  <c r="U8" i="5"/>
  <c r="T8" i="5"/>
  <c r="W8" i="5"/>
  <c r="R8" i="5"/>
  <c r="V28" i="5"/>
  <c r="T28" i="5"/>
  <c r="U28" i="5"/>
  <c r="S28" i="5"/>
  <c r="W28" i="5"/>
  <c r="R28" i="5"/>
  <c r="R47" i="5"/>
  <c r="V47" i="5"/>
  <c r="W47" i="5"/>
  <c r="S47" i="5"/>
  <c r="U47" i="5"/>
  <c r="T47" i="5"/>
  <c r="S49" i="5"/>
  <c r="T49" i="5"/>
  <c r="V49" i="5"/>
  <c r="R49" i="5"/>
  <c r="U49" i="5"/>
  <c r="W49" i="5"/>
  <c r="W51" i="5"/>
  <c r="S51" i="5"/>
  <c r="R51" i="5"/>
  <c r="U51" i="5"/>
  <c r="V51" i="5"/>
  <c r="T51" i="5"/>
  <c r="S53" i="5"/>
  <c r="V53" i="5"/>
  <c r="U53" i="5"/>
  <c r="T53" i="5"/>
  <c r="W53" i="5"/>
  <c r="R53" i="5"/>
  <c r="V55" i="5"/>
  <c r="R55" i="5"/>
  <c r="W55" i="5"/>
  <c r="S55" i="5"/>
  <c r="U55" i="5"/>
  <c r="T55" i="5"/>
  <c r="S57" i="5"/>
  <c r="U57" i="5"/>
  <c r="T57" i="5"/>
  <c r="V57" i="5"/>
  <c r="R57" i="5"/>
  <c r="W57" i="5"/>
  <c r="W59" i="5"/>
  <c r="S59" i="5"/>
  <c r="T59" i="5"/>
  <c r="R59" i="5"/>
  <c r="U59" i="5"/>
  <c r="V59" i="5"/>
  <c r="S61" i="5"/>
  <c r="V61" i="5"/>
  <c r="U61" i="5"/>
  <c r="W61" i="5"/>
  <c r="T61" i="5"/>
  <c r="R61" i="5"/>
  <c r="R63" i="5"/>
  <c r="V63" i="5"/>
  <c r="W63" i="5"/>
  <c r="S63" i="5"/>
  <c r="U63" i="5"/>
  <c r="T63" i="5"/>
  <c r="S65" i="5"/>
  <c r="T65" i="5"/>
  <c r="V65" i="5"/>
  <c r="R65" i="5"/>
  <c r="U65" i="5"/>
  <c r="W65" i="5"/>
  <c r="W67" i="5"/>
  <c r="S67" i="5"/>
  <c r="R67" i="5"/>
  <c r="U67" i="5"/>
  <c r="V67" i="5"/>
  <c r="T67" i="5"/>
  <c r="S69" i="5"/>
  <c r="T69" i="5"/>
  <c r="V69" i="5"/>
  <c r="U69" i="5"/>
  <c r="W69" i="5"/>
  <c r="R69" i="5"/>
  <c r="V71" i="5"/>
  <c r="R71" i="5"/>
  <c r="W71" i="5"/>
  <c r="S71" i="5"/>
  <c r="U71" i="5"/>
  <c r="T71" i="5"/>
  <c r="S73" i="5"/>
  <c r="U73" i="5"/>
  <c r="T73" i="5"/>
  <c r="V73" i="5"/>
  <c r="R73" i="5"/>
  <c r="W73" i="5"/>
  <c r="W75" i="5"/>
  <c r="S75" i="5"/>
  <c r="T75" i="5"/>
  <c r="R75" i="5"/>
  <c r="U75" i="5"/>
  <c r="V75" i="5"/>
  <c r="S77" i="5"/>
  <c r="W77" i="5"/>
  <c r="R77" i="5"/>
  <c r="R79" i="5"/>
  <c r="W79" i="5"/>
  <c r="S79" i="5"/>
  <c r="V102" i="5"/>
  <c r="U102" i="5"/>
  <c r="S102" i="5"/>
  <c r="W102" i="5"/>
  <c r="R102" i="5"/>
  <c r="T102" i="5"/>
  <c r="T11" i="5"/>
  <c r="S11" i="5"/>
  <c r="R11" i="5"/>
  <c r="W11" i="5"/>
  <c r="U11" i="5"/>
  <c r="V11" i="5"/>
  <c r="R82" i="5"/>
  <c r="W82" i="5"/>
  <c r="V82" i="5"/>
  <c r="S82" i="5"/>
  <c r="T82" i="5"/>
  <c r="U82" i="5"/>
  <c r="T13" i="5"/>
  <c r="V13" i="5"/>
  <c r="R13" i="5"/>
  <c r="W13" i="5"/>
  <c r="S13" i="5"/>
  <c r="U13" i="5"/>
  <c r="V24" i="5"/>
  <c r="U24" i="5"/>
  <c r="S24" i="5"/>
  <c r="W24" i="5"/>
  <c r="T24" i="5"/>
  <c r="R24" i="5"/>
  <c r="T32" i="5"/>
  <c r="V32" i="5"/>
  <c r="S32" i="5"/>
  <c r="R32" i="5"/>
  <c r="W32" i="5"/>
  <c r="U32" i="5"/>
  <c r="T34" i="5"/>
  <c r="V34" i="5"/>
  <c r="U34" i="5"/>
  <c r="R34" i="5"/>
  <c r="W34" i="5"/>
  <c r="S34" i="5"/>
  <c r="T36" i="5"/>
  <c r="W36" i="5"/>
  <c r="R36" i="5"/>
  <c r="S36" i="5"/>
  <c r="V36" i="5"/>
  <c r="U36" i="5"/>
  <c r="U86" i="5"/>
  <c r="S86" i="5"/>
  <c r="W86" i="5"/>
  <c r="V86" i="5"/>
  <c r="R86" i="5"/>
  <c r="T86" i="5"/>
  <c r="U88" i="5"/>
  <c r="T88" i="5"/>
  <c r="S88" i="5"/>
  <c r="V88" i="5"/>
  <c r="R88" i="5"/>
  <c r="W88" i="5"/>
  <c r="W90" i="5"/>
  <c r="S90" i="5"/>
  <c r="U90" i="5"/>
  <c r="T90" i="5"/>
  <c r="V90" i="5"/>
  <c r="R90" i="5"/>
  <c r="W92" i="5"/>
  <c r="U92" i="5"/>
  <c r="S92" i="5"/>
  <c r="V92" i="5"/>
  <c r="R92" i="5"/>
  <c r="T92" i="5"/>
  <c r="T16" i="5"/>
  <c r="W16" i="5"/>
  <c r="R16" i="5"/>
  <c r="U16" i="5"/>
  <c r="S16" i="5"/>
  <c r="V16" i="5"/>
  <c r="T18" i="5"/>
  <c r="V18" i="5"/>
  <c r="U18" i="5"/>
  <c r="S18" i="5"/>
  <c r="R18" i="5"/>
  <c r="W18" i="5"/>
  <c r="W26" i="5"/>
  <c r="U26" i="5"/>
  <c r="T26" i="5"/>
  <c r="V26" i="5"/>
  <c r="R26" i="5"/>
  <c r="S26" i="5"/>
  <c r="V40" i="5"/>
  <c r="S40" i="5"/>
  <c r="W40" i="5"/>
  <c r="U40" i="5"/>
  <c r="T40" i="5"/>
  <c r="R40" i="5"/>
  <c r="S42" i="5"/>
  <c r="W42" i="5"/>
  <c r="U42" i="5"/>
  <c r="V42" i="5"/>
  <c r="R42" i="5"/>
  <c r="T42" i="5"/>
  <c r="W44" i="5"/>
  <c r="S44" i="5"/>
  <c r="U44" i="5"/>
  <c r="T44" i="5"/>
  <c r="R44" i="5"/>
  <c r="V44" i="5"/>
  <c r="U94" i="5"/>
  <c r="V94" i="5"/>
  <c r="W94" i="5"/>
  <c r="R94" i="5"/>
  <c r="T94" i="5"/>
  <c r="S94" i="5"/>
  <c r="T96" i="5"/>
  <c r="U96" i="5"/>
  <c r="S96" i="5"/>
  <c r="V96" i="5"/>
  <c r="R96" i="5"/>
  <c r="W96" i="5"/>
  <c r="W98" i="5"/>
  <c r="R98" i="5"/>
  <c r="V98" i="5"/>
  <c r="U98" i="5"/>
  <c r="T98" i="5"/>
  <c r="S98" i="5"/>
  <c r="T100" i="5"/>
  <c r="W100" i="5"/>
  <c r="V100" i="5"/>
  <c r="S100" i="5"/>
  <c r="R100" i="5"/>
  <c r="U100" i="5"/>
  <c r="T5" i="5"/>
  <c r="S5" i="5"/>
  <c r="V5" i="5"/>
  <c r="R5" i="5"/>
  <c r="W5" i="5"/>
  <c r="U5" i="5"/>
  <c r="T7" i="5"/>
  <c r="V7" i="5"/>
  <c r="U7" i="5"/>
  <c r="S7" i="5"/>
  <c r="R7" i="5"/>
  <c r="W7" i="5"/>
  <c r="V20" i="5"/>
  <c r="S20" i="5"/>
  <c r="W20" i="5"/>
  <c r="U20" i="5"/>
  <c r="T20" i="5"/>
  <c r="R20" i="5"/>
  <c r="R46" i="5"/>
  <c r="S46" i="5"/>
  <c r="W46" i="5"/>
  <c r="U46" i="5"/>
  <c r="V46" i="5"/>
  <c r="T46" i="5"/>
  <c r="U48" i="5"/>
  <c r="R48" i="5"/>
  <c r="W48" i="5"/>
  <c r="V48" i="5"/>
  <c r="S48" i="5"/>
  <c r="T48" i="5"/>
  <c r="T50" i="5"/>
  <c r="V50" i="5"/>
  <c r="R50" i="5"/>
  <c r="U50" i="5"/>
  <c r="S50" i="5"/>
  <c r="W50" i="5"/>
  <c r="U52" i="5"/>
  <c r="V52" i="5"/>
  <c r="T52" i="5"/>
  <c r="S52" i="5"/>
  <c r="W52" i="5"/>
  <c r="R52" i="5"/>
  <c r="R54" i="5"/>
  <c r="S54" i="5"/>
  <c r="T54" i="5"/>
  <c r="W54" i="5"/>
  <c r="U54" i="5"/>
  <c r="V54" i="5"/>
  <c r="U56" i="5"/>
  <c r="W56" i="5"/>
  <c r="S56" i="5"/>
  <c r="R56" i="5"/>
  <c r="V56" i="5"/>
  <c r="T56" i="5"/>
  <c r="V58" i="5"/>
  <c r="T58" i="5"/>
  <c r="W58" i="5"/>
  <c r="R58" i="5"/>
  <c r="U58" i="5"/>
  <c r="S58" i="5"/>
  <c r="U60" i="5"/>
  <c r="T60" i="5"/>
  <c r="S60" i="5"/>
  <c r="V60" i="5"/>
  <c r="R60" i="5"/>
  <c r="W60" i="5"/>
  <c r="S62" i="5"/>
  <c r="R62" i="5"/>
  <c r="V62" i="5"/>
  <c r="W62" i="5"/>
  <c r="T62" i="5"/>
  <c r="U62" i="5"/>
  <c r="U64" i="5"/>
  <c r="V64" i="5"/>
  <c r="S64" i="5"/>
  <c r="R64" i="5"/>
  <c r="W64" i="5"/>
  <c r="T64" i="5"/>
  <c r="V66" i="5"/>
  <c r="T66" i="5"/>
  <c r="S66" i="5"/>
  <c r="W66" i="5"/>
  <c r="R66" i="5"/>
  <c r="U66" i="5"/>
  <c r="U68" i="5"/>
  <c r="S68" i="5"/>
  <c r="V68" i="5"/>
  <c r="T68" i="5"/>
  <c r="R68" i="5"/>
  <c r="W68" i="5"/>
  <c r="S70" i="5"/>
  <c r="R70" i="5"/>
  <c r="U70" i="5"/>
  <c r="W70" i="5"/>
  <c r="V70" i="5"/>
  <c r="T70" i="5"/>
  <c r="U72" i="5"/>
  <c r="S72" i="5"/>
  <c r="R72" i="5"/>
  <c r="W72" i="5"/>
  <c r="V72" i="5"/>
  <c r="T72" i="5"/>
  <c r="V74" i="5"/>
  <c r="T74" i="5"/>
  <c r="U74" i="5"/>
  <c r="S74" i="5"/>
  <c r="W74" i="5"/>
  <c r="R74" i="5"/>
  <c r="U76" i="5"/>
  <c r="V76" i="5"/>
  <c r="T76" i="5"/>
  <c r="S76" i="5"/>
  <c r="R76" i="5"/>
  <c r="W76" i="5"/>
  <c r="R78" i="5"/>
  <c r="S78" i="5"/>
  <c r="W78" i="5"/>
  <c r="S10" i="5"/>
  <c r="U10" i="5"/>
  <c r="T10" i="5"/>
  <c r="W10" i="5"/>
  <c r="V10" i="5"/>
  <c r="R10" i="5"/>
  <c r="S22" i="5"/>
  <c r="T22" i="5"/>
  <c r="W22" i="5"/>
  <c r="V22" i="5"/>
  <c r="U22" i="5"/>
  <c r="R22" i="5"/>
  <c r="V81" i="5"/>
  <c r="U81" i="5"/>
  <c r="W81" i="5"/>
  <c r="T81" i="5"/>
  <c r="S81" i="5"/>
  <c r="R81" i="5"/>
  <c r="W83" i="5"/>
  <c r="V83" i="5"/>
  <c r="R83" i="5"/>
  <c r="T83" i="5"/>
  <c r="U83" i="5"/>
  <c r="S83" i="5"/>
  <c r="T104" i="5"/>
  <c r="S104" i="5"/>
  <c r="V104" i="5"/>
  <c r="U104" i="5"/>
  <c r="W104" i="5"/>
  <c r="R104" i="5"/>
  <c r="W31" i="5"/>
  <c r="S31" i="5"/>
  <c r="V31" i="5"/>
  <c r="R31" i="5"/>
  <c r="T31" i="5"/>
  <c r="U31" i="5"/>
  <c r="S33" i="5"/>
  <c r="T33" i="5"/>
  <c r="V33" i="5"/>
  <c r="R33" i="5"/>
  <c r="U33" i="5"/>
  <c r="W33" i="5"/>
  <c r="U35" i="5"/>
  <c r="T35" i="5"/>
  <c r="W35" i="5"/>
  <c r="V35" i="5"/>
  <c r="S35" i="5"/>
  <c r="R35" i="5"/>
  <c r="R37" i="5"/>
  <c r="S37" i="5"/>
  <c r="T37" i="5"/>
  <c r="U37" i="5"/>
  <c r="V37" i="5"/>
  <c r="W37" i="5"/>
  <c r="S85" i="5"/>
  <c r="W85" i="5"/>
  <c r="R85" i="5"/>
  <c r="T85" i="5"/>
  <c r="U85" i="5"/>
  <c r="V85" i="5"/>
  <c r="S87" i="5"/>
  <c r="T87" i="5"/>
  <c r="U87" i="5"/>
  <c r="W87" i="5"/>
  <c r="R87" i="5"/>
  <c r="V87" i="5"/>
  <c r="T89" i="5"/>
  <c r="S89" i="5"/>
  <c r="V89" i="5"/>
  <c r="R89" i="5"/>
  <c r="U89" i="5"/>
  <c r="W89" i="5"/>
  <c r="W91" i="5"/>
  <c r="V91" i="5"/>
  <c r="T91" i="5"/>
  <c r="R91" i="5"/>
  <c r="U91" i="5"/>
  <c r="S91" i="5"/>
  <c r="A21" i="5" l="1"/>
  <c r="A101" i="5"/>
  <c r="A23" i="5"/>
  <c r="A103" i="5"/>
  <c r="A9" i="5"/>
  <c r="A25" i="5"/>
  <c r="A27" i="5"/>
  <c r="A29" i="5"/>
  <c r="A12" i="5"/>
  <c r="X91" i="5"/>
  <c r="X35" i="5"/>
  <c r="X33" i="5"/>
  <c r="X22" i="5"/>
  <c r="X76" i="5"/>
  <c r="X68" i="5"/>
  <c r="X60" i="5"/>
  <c r="X50" i="5"/>
  <c r="V82" i="12" s="1"/>
  <c r="X42" i="5"/>
  <c r="X26" i="5"/>
  <c r="X86" i="5"/>
  <c r="X36" i="5"/>
  <c r="X13" i="5"/>
  <c r="X11" i="5"/>
  <c r="X102" i="5"/>
  <c r="V85" i="12" s="1"/>
  <c r="X77" i="5"/>
  <c r="V30" i="12" s="1"/>
  <c r="X63" i="5"/>
  <c r="X97" i="5"/>
  <c r="X39" i="5"/>
  <c r="X69" i="5"/>
  <c r="X82" i="5"/>
  <c r="X47" i="5"/>
  <c r="V16" i="12"/>
  <c r="V45" i="12"/>
  <c r="V9" i="12"/>
  <c r="V28" i="12"/>
  <c r="V77" i="12"/>
  <c r="V72" i="12"/>
  <c r="V81" i="12"/>
  <c r="V75" i="12"/>
  <c r="V27" i="12"/>
  <c r="X74" i="5"/>
  <c r="V17" i="12" s="1"/>
  <c r="X70" i="5"/>
  <c r="X64" i="5"/>
  <c r="X62" i="5"/>
  <c r="X5" i="5"/>
  <c r="X94" i="5"/>
  <c r="X40" i="5"/>
  <c r="V47" i="12" s="1"/>
  <c r="X34" i="5"/>
  <c r="X28" i="5"/>
  <c r="X95" i="5"/>
  <c r="V14" i="12" s="1"/>
  <c r="V76" i="12"/>
  <c r="V18" i="12"/>
  <c r="V84" i="12"/>
  <c r="V51" i="12"/>
  <c r="V46" i="12"/>
  <c r="V22" i="12"/>
  <c r="V8" i="12"/>
  <c r="V23" i="12"/>
  <c r="X89" i="5"/>
  <c r="X31" i="5"/>
  <c r="X104" i="5"/>
  <c r="V86" i="12" s="1"/>
  <c r="X81" i="5"/>
  <c r="X10" i="5"/>
  <c r="V35" i="12" s="1"/>
  <c r="X78" i="5"/>
  <c r="X72" i="5"/>
  <c r="X66" i="5"/>
  <c r="X54" i="5"/>
  <c r="X46" i="5"/>
  <c r="X7" i="5"/>
  <c r="X100" i="5"/>
  <c r="X96" i="5"/>
  <c r="V32" i="12" s="1"/>
  <c r="X44" i="5"/>
  <c r="X18" i="5"/>
  <c r="X16" i="5"/>
  <c r="X92" i="5"/>
  <c r="X88" i="5"/>
  <c r="X73" i="5"/>
  <c r="X67" i="5"/>
  <c r="X57" i="5"/>
  <c r="X51" i="5"/>
  <c r="X43" i="5"/>
  <c r="V19" i="12"/>
  <c r="V48" i="12"/>
  <c r="V62" i="12"/>
  <c r="V37" i="12"/>
  <c r="V39" i="12"/>
  <c r="V43" i="12"/>
  <c r="V60" i="12"/>
  <c r="V56" i="12"/>
  <c r="V42" i="12"/>
  <c r="V53" i="12"/>
  <c r="V38" i="12"/>
  <c r="V33" i="12"/>
  <c r="X17" i="5"/>
  <c r="V78" i="12"/>
  <c r="V74" i="12"/>
  <c r="V70" i="12"/>
  <c r="V67" i="12"/>
  <c r="V26" i="12"/>
  <c r="V36" i="12"/>
  <c r="V68" i="12"/>
  <c r="V63" i="12"/>
  <c r="X56" i="5"/>
  <c r="V83" i="12" s="1"/>
  <c r="X75" i="5"/>
  <c r="X61" i="5"/>
  <c r="X59" i="5"/>
  <c r="X53" i="5"/>
  <c r="X6" i="5"/>
  <c r="X99" i="5"/>
  <c r="V29" i="12" s="1"/>
  <c r="X41" i="5"/>
  <c r="V34" i="12"/>
  <c r="V10" i="12"/>
  <c r="V31" i="12"/>
  <c r="V21" i="12"/>
  <c r="V87" i="12"/>
  <c r="V41" i="12"/>
  <c r="V79" i="12"/>
  <c r="X87" i="5"/>
  <c r="X85" i="5"/>
  <c r="X37" i="5"/>
  <c r="X83" i="5"/>
  <c r="X58" i="5"/>
  <c r="V54" i="12" s="1"/>
  <c r="X52" i="5"/>
  <c r="X48" i="5"/>
  <c r="X20" i="5"/>
  <c r="V13" i="12" s="1"/>
  <c r="X98" i="5"/>
  <c r="X90" i="5"/>
  <c r="X32" i="5"/>
  <c r="V52" i="12" s="1"/>
  <c r="X24" i="5"/>
  <c r="X79" i="5"/>
  <c r="X71" i="5"/>
  <c r="X65" i="5"/>
  <c r="X55" i="5"/>
  <c r="X49" i="5"/>
  <c r="X8" i="5"/>
  <c r="V66" i="12" s="1"/>
  <c r="X15" i="5"/>
  <c r="V59" i="12"/>
  <c r="V57" i="12"/>
  <c r="V55" i="12"/>
  <c r="V50" i="12"/>
  <c r="V69" i="12"/>
  <c r="V15" i="12"/>
  <c r="V64" i="12"/>
  <c r="V61" i="12"/>
  <c r="V20" i="12"/>
  <c r="V58" i="12"/>
  <c r="V49" i="12"/>
  <c r="V80" i="12"/>
  <c r="V25" i="12"/>
  <c r="V44" i="12"/>
  <c r="V40" i="12"/>
  <c r="V24" i="12"/>
  <c r="V71" i="12"/>
  <c r="H54" i="11" l="1"/>
  <c r="H32" i="12"/>
  <c r="H29" i="12"/>
  <c r="H76" i="11"/>
  <c r="I29" i="12"/>
  <c r="I76" i="11"/>
  <c r="H14" i="12"/>
  <c r="H50" i="11"/>
  <c r="I54" i="11"/>
  <c r="I32" i="12"/>
  <c r="I14" i="12"/>
  <c r="I50" i="11"/>
  <c r="I86" i="12"/>
  <c r="I13" i="11"/>
  <c r="V12" i="12"/>
  <c r="V12" i="5"/>
  <c r="U12" i="5"/>
  <c r="W12" i="5"/>
  <c r="T12" i="5"/>
  <c r="S12" i="5"/>
  <c r="R12" i="5"/>
  <c r="T27" i="5"/>
  <c r="U27" i="5"/>
  <c r="S27" i="5"/>
  <c r="R27" i="5"/>
  <c r="V27" i="5"/>
  <c r="W27" i="5"/>
  <c r="T23" i="5"/>
  <c r="V23" i="5"/>
  <c r="W23" i="5"/>
  <c r="R23" i="5"/>
  <c r="U23" i="5"/>
  <c r="S23" i="5"/>
  <c r="T9" i="5"/>
  <c r="U9" i="5"/>
  <c r="V9" i="5"/>
  <c r="R9" i="5"/>
  <c r="S9" i="5"/>
  <c r="W9" i="5"/>
  <c r="V101" i="5"/>
  <c r="W101" i="5"/>
  <c r="U101" i="5"/>
  <c r="R101" i="5"/>
  <c r="T101" i="5"/>
  <c r="S101" i="5"/>
  <c r="U103" i="5"/>
  <c r="W103" i="5"/>
  <c r="V103" i="5"/>
  <c r="T103" i="5"/>
  <c r="R103" i="5"/>
  <c r="S103" i="5"/>
  <c r="T29" i="5"/>
  <c r="R29" i="5"/>
  <c r="W29" i="5"/>
  <c r="S29" i="5"/>
  <c r="U29" i="5"/>
  <c r="V29" i="5"/>
  <c r="T25" i="5"/>
  <c r="U25" i="5"/>
  <c r="W25" i="5"/>
  <c r="V25" i="5"/>
  <c r="S25" i="5"/>
  <c r="R25" i="5"/>
  <c r="T21" i="5"/>
  <c r="S21" i="5"/>
  <c r="U21" i="5"/>
  <c r="R21" i="5"/>
  <c r="W21" i="5"/>
  <c r="V21" i="5"/>
  <c r="H85" i="12" l="1"/>
  <c r="H14" i="11"/>
  <c r="X103" i="5"/>
  <c r="I43" i="11"/>
  <c r="I13" i="12"/>
  <c r="H13" i="11"/>
  <c r="H86" i="12"/>
  <c r="I85" i="12"/>
  <c r="I14" i="11"/>
  <c r="H84" i="12"/>
  <c r="H12" i="11"/>
  <c r="H13" i="12"/>
  <c r="H43" i="11"/>
  <c r="I84" i="12"/>
  <c r="I12" i="11"/>
  <c r="X29" i="5"/>
  <c r="X9" i="5"/>
  <c r="X27" i="5"/>
  <c r="X12" i="5"/>
  <c r="X21" i="5"/>
  <c r="X25" i="5"/>
  <c r="X101" i="5"/>
  <c r="X23" i="5"/>
  <c r="L63" i="11" l="1"/>
  <c r="L17" i="12"/>
  <c r="H17" i="11"/>
  <c r="H52" i="12"/>
  <c r="I20" i="11"/>
  <c r="I66" i="12"/>
  <c r="I31" i="12"/>
  <c r="I62" i="11"/>
  <c r="I44" i="11"/>
  <c r="I11" i="12"/>
  <c r="H19" i="11"/>
  <c r="H83" i="12"/>
  <c r="H48" i="11"/>
  <c r="H12" i="12"/>
  <c r="I18" i="12"/>
  <c r="I64" i="11"/>
  <c r="I47" i="12"/>
  <c r="I8" i="11"/>
  <c r="I81" i="12"/>
  <c r="I25" i="11"/>
  <c r="I10" i="11"/>
  <c r="I82" i="12"/>
  <c r="H44" i="11"/>
  <c r="H11" i="12"/>
  <c r="I17" i="11"/>
  <c r="I52" i="12"/>
  <c r="I16" i="11"/>
  <c r="I53" i="12"/>
  <c r="I22" i="11"/>
  <c r="I35" i="12"/>
  <c r="I17" i="12"/>
  <c r="I63" i="11"/>
  <c r="H31" i="11"/>
  <c r="H54" i="12"/>
  <c r="I83" i="12"/>
  <c r="I19" i="11"/>
  <c r="L81" i="12"/>
  <c r="L25" i="11"/>
  <c r="H10" i="11"/>
  <c r="H82" i="12"/>
  <c r="H30" i="12"/>
  <c r="H58" i="11"/>
  <c r="I53" i="11"/>
  <c r="I16" i="12"/>
  <c r="L17" i="11"/>
  <c r="L52" i="12"/>
  <c r="H20" i="11"/>
  <c r="H66" i="12"/>
  <c r="H63" i="11"/>
  <c r="H17" i="12"/>
  <c r="H47" i="12"/>
  <c r="H8" i="11"/>
  <c r="I30" i="12"/>
  <c r="I58" i="11"/>
  <c r="I54" i="12"/>
  <c r="I31" i="11"/>
  <c r="H53" i="12"/>
  <c r="H16" i="11"/>
  <c r="H64" i="11"/>
  <c r="H18" i="12"/>
  <c r="L13" i="12"/>
  <c r="L43" i="11"/>
  <c r="I48" i="11"/>
  <c r="I12" i="12"/>
  <c r="H35" i="12"/>
  <c r="H22" i="11"/>
  <c r="H16" i="12"/>
  <c r="H53" i="11"/>
  <c r="H31" i="12"/>
  <c r="H62" i="11"/>
  <c r="H25" i="11"/>
  <c r="H81" i="12"/>
  <c r="L58" i="11" l="1"/>
  <c r="L30" i="12"/>
  <c r="L53" i="11"/>
  <c r="L16" i="12"/>
  <c r="L8" i="11"/>
  <c r="L47" i="12"/>
  <c r="L48" i="11"/>
  <c r="L12" i="12"/>
  <c r="L62" i="11"/>
  <c r="L31" i="12"/>
  <c r="L10" i="11"/>
  <c r="L82" i="12"/>
  <c r="L19" i="11"/>
  <c r="L83" i="12"/>
  <c r="L31" i="11"/>
  <c r="L54" i="12"/>
  <c r="L18" i="12"/>
  <c r="L64" i="11"/>
  <c r="L66" i="12" l="1"/>
  <c r="L20" i="11"/>
  <c r="L35" i="12"/>
  <c r="L22" i="11"/>
  <c r="L14" i="11"/>
  <c r="L85" i="12"/>
  <c r="L13" i="11"/>
  <c r="L86" i="12"/>
  <c r="L53" i="12"/>
  <c r="L16" i="11"/>
  <c r="L44" i="11"/>
  <c r="L11" i="12"/>
  <c r="L29" i="12"/>
  <c r="L76" i="11"/>
  <c r="L11" i="11"/>
  <c r="L87" i="12"/>
  <c r="L54" i="11"/>
  <c r="L32" i="12"/>
  <c r="L50" i="11"/>
  <c r="L14" i="12"/>
  <c r="L12" i="11"/>
  <c r="L84" i="12"/>
  <c r="K11" i="11" l="1"/>
  <c r="K87" i="12"/>
  <c r="K14" i="12" l="1"/>
  <c r="K50" i="11"/>
  <c r="K47" i="12"/>
  <c r="K8" i="11"/>
  <c r="K16" i="11"/>
  <c r="K53" i="12"/>
  <c r="K10" i="11"/>
  <c r="K82" i="12"/>
  <c r="K17" i="11"/>
  <c r="K52" i="12"/>
  <c r="K31" i="11"/>
  <c r="K54" i="12"/>
  <c r="K20" i="11"/>
  <c r="K66" i="12"/>
  <c r="K32" i="12"/>
  <c r="K54" i="11"/>
  <c r="K44" i="11"/>
  <c r="K11" i="12"/>
  <c r="K14" i="11"/>
  <c r="K85" i="12"/>
  <c r="K35" i="12"/>
  <c r="K22" i="11"/>
  <c r="K84" i="12"/>
  <c r="K12" i="11"/>
  <c r="K76" i="11"/>
  <c r="K29" i="12"/>
  <c r="K83" i="12"/>
  <c r="K19" i="11"/>
  <c r="K48" i="11"/>
  <c r="K12" i="12"/>
  <c r="K58" i="11"/>
  <c r="K30" i="12"/>
  <c r="K63" i="11"/>
  <c r="K17" i="12"/>
  <c r="K81" i="12"/>
  <c r="K25" i="11"/>
  <c r="K13" i="11"/>
  <c r="K86" i="12"/>
  <c r="K31" i="12"/>
  <c r="K62" i="11"/>
  <c r="K53" i="11"/>
  <c r="K16" i="12"/>
  <c r="K13" i="12"/>
  <c r="K43" i="11"/>
  <c r="K64" i="11"/>
  <c r="K18" i="12"/>
  <c r="V73" i="2" l="1"/>
  <c r="S89" i="2"/>
  <c r="S97" i="2"/>
  <c r="S4" i="2"/>
  <c r="U4" i="2"/>
  <c r="W4" i="2"/>
  <c r="R7" i="2"/>
  <c r="S8" i="2"/>
  <c r="U8" i="2"/>
  <c r="W8" i="2"/>
  <c r="S12" i="2"/>
  <c r="U12" i="2"/>
  <c r="W12" i="2"/>
  <c r="S16" i="2"/>
  <c r="U16" i="2"/>
  <c r="R16" i="2"/>
  <c r="S20" i="2"/>
  <c r="W20" i="2"/>
  <c r="R20" i="2"/>
  <c r="S24" i="2"/>
  <c r="W24" i="2"/>
  <c r="R24" i="2"/>
  <c r="S28" i="2"/>
  <c r="W28" i="2"/>
  <c r="R28" i="2"/>
  <c r="U32" i="2"/>
  <c r="W32" i="2"/>
  <c r="R32" i="2"/>
  <c r="T36" i="2"/>
  <c r="S40" i="2"/>
  <c r="W40" i="2"/>
  <c r="T44" i="2"/>
  <c r="U44" i="2"/>
  <c r="S48" i="2"/>
  <c r="U49" i="2"/>
  <c r="T52" i="2"/>
  <c r="U52" i="2"/>
  <c r="U60" i="2"/>
  <c r="S61" i="2"/>
  <c r="T64" i="2"/>
  <c r="R65" i="2"/>
  <c r="T76" i="2"/>
  <c r="U76" i="2"/>
  <c r="T80" i="2"/>
  <c r="T92" i="2"/>
  <c r="U92" i="2"/>
  <c r="T96" i="2"/>
  <c r="T108" i="2"/>
  <c r="S111" i="2" l="1"/>
  <c r="S95" i="2"/>
  <c r="S91" i="2"/>
  <c r="W87" i="2"/>
  <c r="S79" i="2"/>
  <c r="T75" i="2"/>
  <c r="S71" i="2"/>
  <c r="S63" i="2"/>
  <c r="V59" i="2"/>
  <c r="W51" i="2"/>
  <c r="V43" i="2"/>
  <c r="S39" i="2"/>
  <c r="T35" i="2"/>
  <c r="R31" i="2"/>
  <c r="T23" i="2"/>
  <c r="V19" i="2"/>
  <c r="R15" i="2"/>
  <c r="T7" i="2"/>
  <c r="T107" i="2"/>
  <c r="V114" i="2"/>
  <c r="V110" i="2"/>
  <c r="U106" i="2"/>
  <c r="U102" i="2"/>
  <c r="T98" i="2"/>
  <c r="S94" i="2"/>
  <c r="U90" i="2"/>
  <c r="V86" i="2"/>
  <c r="V82" i="2"/>
  <c r="W78" i="2"/>
  <c r="V74" i="2"/>
  <c r="U70" i="2"/>
  <c r="U66" i="2"/>
  <c r="U62" i="2"/>
  <c r="V58" i="2"/>
  <c r="T54" i="2"/>
  <c r="V50" i="2"/>
  <c r="V46" i="2"/>
  <c r="U42" i="2"/>
  <c r="V38" i="2"/>
  <c r="U34" i="2"/>
  <c r="T30" i="2"/>
  <c r="T26" i="2"/>
  <c r="V18" i="2"/>
  <c r="R14" i="2"/>
  <c r="W10" i="2"/>
  <c r="W103" i="2"/>
  <c r="S113" i="2"/>
  <c r="S109" i="2"/>
  <c r="U105" i="2"/>
  <c r="V101" i="2"/>
  <c r="R97" i="2"/>
  <c r="R93" i="2"/>
  <c r="V89" i="2"/>
  <c r="S85" i="2"/>
  <c r="U81" i="2"/>
  <c r="U77" i="2"/>
  <c r="S73" i="2"/>
  <c r="R69" i="2"/>
  <c r="V65" i="2"/>
  <c r="V61" i="2"/>
  <c r="V57" i="2"/>
  <c r="T49" i="2"/>
  <c r="R45" i="2"/>
  <c r="T41" i="2"/>
  <c r="T37" i="2"/>
  <c r="R33" i="2"/>
  <c r="V29" i="2"/>
  <c r="T25" i="2"/>
  <c r="R17" i="2"/>
  <c r="V13" i="2"/>
  <c r="R9" i="2"/>
  <c r="T3" i="2"/>
  <c r="T112" i="2"/>
  <c r="U108" i="2"/>
  <c r="T60" i="2"/>
  <c r="U36" i="2"/>
  <c r="S32" i="2"/>
  <c r="U28" i="2"/>
  <c r="U24" i="2"/>
  <c r="U20" i="2"/>
  <c r="W16" i="2"/>
  <c r="R12" i="2"/>
  <c r="R8" i="2"/>
  <c r="R4" i="2"/>
  <c r="U113" i="2"/>
  <c r="S101" i="2"/>
  <c r="V77" i="2"/>
  <c r="U69" i="2"/>
  <c r="V109" i="2"/>
  <c r="U85" i="2"/>
  <c r="U109" i="2"/>
  <c r="R113" i="2"/>
  <c r="R105" i="2"/>
  <c r="V81" i="2"/>
  <c r="T90" i="2"/>
  <c r="W62" i="2"/>
  <c r="S34" i="2"/>
  <c r="S66" i="2"/>
  <c r="R90" i="2"/>
  <c r="W74" i="2"/>
  <c r="T103" i="2"/>
  <c r="W71" i="2"/>
  <c r="V51" i="2"/>
  <c r="R23" i="2"/>
  <c r="S107" i="2"/>
  <c r="S75" i="2"/>
  <c r="T59" i="2"/>
  <c r="T31" i="2"/>
  <c r="T87" i="2"/>
  <c r="T43" i="2"/>
  <c r="U3" i="2"/>
  <c r="V3" i="2"/>
  <c r="S103" i="2"/>
  <c r="S87" i="2"/>
  <c r="T71" i="2"/>
  <c r="U59" i="2"/>
  <c r="R59" i="2"/>
  <c r="T51" i="2"/>
  <c r="U43" i="2"/>
  <c r="R43" i="2"/>
  <c r="W35" i="2"/>
  <c r="T15" i="2"/>
  <c r="R3" i="2"/>
  <c r="W3" i="2"/>
  <c r="T102" i="2"/>
  <c r="T91" i="2"/>
  <c r="W86" i="2"/>
  <c r="W59" i="2"/>
  <c r="S58" i="2"/>
  <c r="U51" i="2"/>
  <c r="R51" i="2"/>
  <c r="U46" i="2"/>
  <c r="W43" i="2"/>
  <c r="V35" i="2"/>
  <c r="U114" i="2"/>
  <c r="W110" i="2"/>
  <c r="R102" i="2"/>
  <c r="V97" i="2"/>
  <c r="S93" i="2"/>
  <c r="V85" i="2"/>
  <c r="R81" i="2"/>
  <c r="S77" i="2"/>
  <c r="U73" i="2"/>
  <c r="U61" i="2"/>
  <c r="R37" i="2"/>
  <c r="S106" i="2"/>
  <c r="T106" i="2"/>
  <c r="R98" i="2"/>
  <c r="W98" i="2"/>
  <c r="R94" i="2"/>
  <c r="W94" i="2"/>
  <c r="S82" i="2"/>
  <c r="T82" i="2"/>
  <c r="S78" i="2"/>
  <c r="T78" i="2"/>
  <c r="R70" i="2"/>
  <c r="W70" i="2"/>
  <c r="R54" i="2"/>
  <c r="W54" i="2"/>
  <c r="S50" i="2"/>
  <c r="T50" i="2"/>
  <c r="S42" i="2"/>
  <c r="T42" i="2"/>
  <c r="S38" i="2"/>
  <c r="T38" i="2"/>
  <c r="R30" i="2"/>
  <c r="W30" i="2"/>
  <c r="V26" i="2"/>
  <c r="R26" i="2"/>
  <c r="W26" i="2"/>
  <c r="S22" i="2"/>
  <c r="T22" i="2"/>
  <c r="U22" i="2"/>
  <c r="R18" i="2"/>
  <c r="W18" i="2"/>
  <c r="S18" i="2"/>
  <c r="T18" i="2"/>
  <c r="U14" i="2"/>
  <c r="V14" i="2"/>
  <c r="S10" i="2"/>
  <c r="T10" i="2"/>
  <c r="U10" i="2"/>
  <c r="V6" i="2"/>
  <c r="R6" i="2"/>
  <c r="W6" i="2"/>
  <c r="S114" i="2"/>
  <c r="U110" i="2"/>
  <c r="R106" i="2"/>
  <c r="W102" i="2"/>
  <c r="V98" i="2"/>
  <c r="T94" i="2"/>
  <c r="W90" i="2"/>
  <c r="U86" i="2"/>
  <c r="U82" i="2"/>
  <c r="V78" i="2"/>
  <c r="U74" i="2"/>
  <c r="S70" i="2"/>
  <c r="T66" i="2"/>
  <c r="R66" i="2"/>
  <c r="V62" i="2"/>
  <c r="T58" i="2"/>
  <c r="R58" i="2"/>
  <c r="V54" i="2"/>
  <c r="U50" i="2"/>
  <c r="S46" i="2"/>
  <c r="R42" i="2"/>
  <c r="U38" i="2"/>
  <c r="T34" i="2"/>
  <c r="R34" i="2"/>
  <c r="V30" i="2"/>
  <c r="U26" i="2"/>
  <c r="W22" i="2"/>
  <c r="U18" i="2"/>
  <c r="T14" i="2"/>
  <c r="V10" i="2"/>
  <c r="T6" i="2"/>
  <c r="T114" i="2"/>
  <c r="R114" i="2"/>
  <c r="S110" i="2"/>
  <c r="R109" i="2"/>
  <c r="W106" i="2"/>
  <c r="S105" i="2"/>
  <c r="V102" i="2"/>
  <c r="U101" i="2"/>
  <c r="U98" i="2"/>
  <c r="U97" i="2"/>
  <c r="V94" i="2"/>
  <c r="V93" i="2"/>
  <c r="V90" i="2"/>
  <c r="U89" i="2"/>
  <c r="S86" i="2"/>
  <c r="R85" i="2"/>
  <c r="R82" i="2"/>
  <c r="U78" i="2"/>
  <c r="R77" i="2"/>
  <c r="S74" i="2"/>
  <c r="R73" i="2"/>
  <c r="T70" i="2"/>
  <c r="S69" i="2"/>
  <c r="W66" i="2"/>
  <c r="S65" i="2"/>
  <c r="S62" i="2"/>
  <c r="R61" i="2"/>
  <c r="W58" i="2"/>
  <c r="U57" i="2"/>
  <c r="U54" i="2"/>
  <c r="R50" i="2"/>
  <c r="T46" i="2"/>
  <c r="R46" i="2"/>
  <c r="W42" i="2"/>
  <c r="V41" i="2"/>
  <c r="R38" i="2"/>
  <c r="W34" i="2"/>
  <c r="T33" i="2"/>
  <c r="U30" i="2"/>
  <c r="S26" i="2"/>
  <c r="V22" i="2"/>
  <c r="T17" i="2"/>
  <c r="W14" i="2"/>
  <c r="R10" i="2"/>
  <c r="U6" i="2"/>
  <c r="W114" i="2"/>
  <c r="V113" i="2"/>
  <c r="T110" i="2"/>
  <c r="R110" i="2"/>
  <c r="V106" i="2"/>
  <c r="V105" i="2"/>
  <c r="S102" i="2"/>
  <c r="R101" i="2"/>
  <c r="S98" i="2"/>
  <c r="U94" i="2"/>
  <c r="U93" i="2"/>
  <c r="S90" i="2"/>
  <c r="R89" i="2"/>
  <c r="T86" i="2"/>
  <c r="R86" i="2"/>
  <c r="W82" i="2"/>
  <c r="S81" i="2"/>
  <c r="R78" i="2"/>
  <c r="T74" i="2"/>
  <c r="R74" i="2"/>
  <c r="V70" i="2"/>
  <c r="V69" i="2"/>
  <c r="V66" i="2"/>
  <c r="U65" i="2"/>
  <c r="T62" i="2"/>
  <c r="R62" i="2"/>
  <c r="U58" i="2"/>
  <c r="T57" i="2"/>
  <c r="S54" i="2"/>
  <c r="W50" i="2"/>
  <c r="V49" i="2"/>
  <c r="W46" i="2"/>
  <c r="V42" i="2"/>
  <c r="U41" i="2"/>
  <c r="W38" i="2"/>
  <c r="V34" i="2"/>
  <c r="S30" i="2"/>
  <c r="R25" i="2"/>
  <c r="R22" i="2"/>
  <c r="S14" i="2"/>
  <c r="T9" i="2"/>
  <c r="S6" i="2"/>
  <c r="R104" i="2"/>
  <c r="V104" i="2"/>
  <c r="S104" i="2"/>
  <c r="W104" i="2"/>
  <c r="U99" i="2"/>
  <c r="R99" i="2"/>
  <c r="V99" i="2"/>
  <c r="R88" i="2"/>
  <c r="V88" i="2"/>
  <c r="S88" i="2"/>
  <c r="W88" i="2"/>
  <c r="U83" i="2"/>
  <c r="R83" i="2"/>
  <c r="V83" i="2"/>
  <c r="R72" i="2"/>
  <c r="V72" i="2"/>
  <c r="S72" i="2"/>
  <c r="W72" i="2"/>
  <c r="U67" i="2"/>
  <c r="R67" i="2"/>
  <c r="V67" i="2"/>
  <c r="U55" i="2"/>
  <c r="V55" i="2"/>
  <c r="R55" i="2"/>
  <c r="W55" i="2"/>
  <c r="U111" i="2"/>
  <c r="R111" i="2"/>
  <c r="V111" i="2"/>
  <c r="U104" i="2"/>
  <c r="R100" i="2"/>
  <c r="V100" i="2"/>
  <c r="S100" i="2"/>
  <c r="W100" i="2"/>
  <c r="W99" i="2"/>
  <c r="U95" i="2"/>
  <c r="R95" i="2"/>
  <c r="V95" i="2"/>
  <c r="U88" i="2"/>
  <c r="R84" i="2"/>
  <c r="V84" i="2"/>
  <c r="S84" i="2"/>
  <c r="W84" i="2"/>
  <c r="W83" i="2"/>
  <c r="U79" i="2"/>
  <c r="R79" i="2"/>
  <c r="V79" i="2"/>
  <c r="U72" i="2"/>
  <c r="R68" i="2"/>
  <c r="V68" i="2"/>
  <c r="S68" i="2"/>
  <c r="W68" i="2"/>
  <c r="W67" i="2"/>
  <c r="U63" i="2"/>
  <c r="R63" i="2"/>
  <c r="V63" i="2"/>
  <c r="R56" i="2"/>
  <c r="V56" i="2"/>
  <c r="T56" i="2"/>
  <c r="U56" i="2"/>
  <c r="T55" i="2"/>
  <c r="S53" i="2"/>
  <c r="W53" i="2"/>
  <c r="U53" i="2"/>
  <c r="V53" i="2"/>
  <c r="U47" i="2"/>
  <c r="V47" i="2"/>
  <c r="R47" i="2"/>
  <c r="W47" i="2"/>
  <c r="U27" i="2"/>
  <c r="S27" i="2"/>
  <c r="W27" i="2"/>
  <c r="R27" i="2"/>
  <c r="T27" i="2"/>
  <c r="S21" i="2"/>
  <c r="W21" i="2"/>
  <c r="U21" i="2"/>
  <c r="R21" i="2"/>
  <c r="T21" i="2"/>
  <c r="U11" i="2"/>
  <c r="S11" i="2"/>
  <c r="W11" i="2"/>
  <c r="R11" i="2"/>
  <c r="T11" i="2"/>
  <c r="S5" i="2"/>
  <c r="W5" i="2"/>
  <c r="U5" i="2"/>
  <c r="R5" i="2"/>
  <c r="T5" i="2"/>
  <c r="V5" i="2"/>
  <c r="R112" i="2"/>
  <c r="V112" i="2"/>
  <c r="S112" i="2"/>
  <c r="W112" i="2"/>
  <c r="W111" i="2"/>
  <c r="U107" i="2"/>
  <c r="R107" i="2"/>
  <c r="V107" i="2"/>
  <c r="T104" i="2"/>
  <c r="U100" i="2"/>
  <c r="T99" i="2"/>
  <c r="R96" i="2"/>
  <c r="V96" i="2"/>
  <c r="S96" i="2"/>
  <c r="W96" i="2"/>
  <c r="W95" i="2"/>
  <c r="U91" i="2"/>
  <c r="R91" i="2"/>
  <c r="V91" i="2"/>
  <c r="T88" i="2"/>
  <c r="U84" i="2"/>
  <c r="T83" i="2"/>
  <c r="R80" i="2"/>
  <c r="V80" i="2"/>
  <c r="S80" i="2"/>
  <c r="W80" i="2"/>
  <c r="W79" i="2"/>
  <c r="U75" i="2"/>
  <c r="R75" i="2"/>
  <c r="V75" i="2"/>
  <c r="T72" i="2"/>
  <c r="U68" i="2"/>
  <c r="T67" i="2"/>
  <c r="R64" i="2"/>
  <c r="V64" i="2"/>
  <c r="S64" i="2"/>
  <c r="W64" i="2"/>
  <c r="W63" i="2"/>
  <c r="W56" i="2"/>
  <c r="S55" i="2"/>
  <c r="T53" i="2"/>
  <c r="R48" i="2"/>
  <c r="V48" i="2"/>
  <c r="T48" i="2"/>
  <c r="U48" i="2"/>
  <c r="T47" i="2"/>
  <c r="S45" i="2"/>
  <c r="W45" i="2"/>
  <c r="U45" i="2"/>
  <c r="V45" i="2"/>
  <c r="U39" i="2"/>
  <c r="V39" i="2"/>
  <c r="R39" i="2"/>
  <c r="W39" i="2"/>
  <c r="V27" i="2"/>
  <c r="V21" i="2"/>
  <c r="V11" i="2"/>
  <c r="U112" i="2"/>
  <c r="T111" i="2"/>
  <c r="R108" i="2"/>
  <c r="V108" i="2"/>
  <c r="S108" i="2"/>
  <c r="W108" i="2"/>
  <c r="W107" i="2"/>
  <c r="U103" i="2"/>
  <c r="R103" i="2"/>
  <c r="V103" i="2"/>
  <c r="T100" i="2"/>
  <c r="S99" i="2"/>
  <c r="U96" i="2"/>
  <c r="T95" i="2"/>
  <c r="R92" i="2"/>
  <c r="V92" i="2"/>
  <c r="S92" i="2"/>
  <c r="W92" i="2"/>
  <c r="W91" i="2"/>
  <c r="U87" i="2"/>
  <c r="R87" i="2"/>
  <c r="V87" i="2"/>
  <c r="T84" i="2"/>
  <c r="S83" i="2"/>
  <c r="U80" i="2"/>
  <c r="T79" i="2"/>
  <c r="R76" i="2"/>
  <c r="V76" i="2"/>
  <c r="S76" i="2"/>
  <c r="W76" i="2"/>
  <c r="W75" i="2"/>
  <c r="U71" i="2"/>
  <c r="R71" i="2"/>
  <c r="V71" i="2"/>
  <c r="T68" i="2"/>
  <c r="S67" i="2"/>
  <c r="U64" i="2"/>
  <c r="T63" i="2"/>
  <c r="R60" i="2"/>
  <c r="V60" i="2"/>
  <c r="S60" i="2"/>
  <c r="W60" i="2"/>
  <c r="S56" i="2"/>
  <c r="R53" i="2"/>
  <c r="W48" i="2"/>
  <c r="S47" i="2"/>
  <c r="T45" i="2"/>
  <c r="R40" i="2"/>
  <c r="V40" i="2"/>
  <c r="T40" i="2"/>
  <c r="U40" i="2"/>
  <c r="T39" i="2"/>
  <c r="S37" i="2"/>
  <c r="W37" i="2"/>
  <c r="U37" i="2"/>
  <c r="V37" i="2"/>
  <c r="S29" i="2"/>
  <c r="W29" i="2"/>
  <c r="U29" i="2"/>
  <c r="R29" i="2"/>
  <c r="T29" i="2"/>
  <c r="U19" i="2"/>
  <c r="S19" i="2"/>
  <c r="W19" i="2"/>
  <c r="R19" i="2"/>
  <c r="T19" i="2"/>
  <c r="S13" i="2"/>
  <c r="W13" i="2"/>
  <c r="U13" i="2"/>
  <c r="R13" i="2"/>
  <c r="T13" i="2"/>
  <c r="T113" i="2"/>
  <c r="T105" i="2"/>
  <c r="T97" i="2"/>
  <c r="T93" i="2"/>
  <c r="T89" i="2"/>
  <c r="T85" i="2"/>
  <c r="T81" i="2"/>
  <c r="T77" i="2"/>
  <c r="T73" i="2"/>
  <c r="T69" i="2"/>
  <c r="T65" i="2"/>
  <c r="T61" i="2"/>
  <c r="R52" i="2"/>
  <c r="V52" i="2"/>
  <c r="S52" i="2"/>
  <c r="R44" i="2"/>
  <c r="V44" i="2"/>
  <c r="S44" i="2"/>
  <c r="R36" i="2"/>
  <c r="V36" i="2"/>
  <c r="S36" i="2"/>
  <c r="S33" i="2"/>
  <c r="W33" i="2"/>
  <c r="U33" i="2"/>
  <c r="U31" i="2"/>
  <c r="S31" i="2"/>
  <c r="W31" i="2"/>
  <c r="S25" i="2"/>
  <c r="W25" i="2"/>
  <c r="U25" i="2"/>
  <c r="U23" i="2"/>
  <c r="S23" i="2"/>
  <c r="W23" i="2"/>
  <c r="S17" i="2"/>
  <c r="W17" i="2"/>
  <c r="U17" i="2"/>
  <c r="U15" i="2"/>
  <c r="S15" i="2"/>
  <c r="W15" i="2"/>
  <c r="S9" i="2"/>
  <c r="W9" i="2"/>
  <c r="U9" i="2"/>
  <c r="U7" i="2"/>
  <c r="S7" i="2"/>
  <c r="W7" i="2"/>
  <c r="T109" i="2"/>
  <c r="T101" i="2"/>
  <c r="W113" i="2"/>
  <c r="W109" i="2"/>
  <c r="W105" i="2"/>
  <c r="W101" i="2"/>
  <c r="W97" i="2"/>
  <c r="W93" i="2"/>
  <c r="W89" i="2"/>
  <c r="W85" i="2"/>
  <c r="W81" i="2"/>
  <c r="W77" i="2"/>
  <c r="W73" i="2"/>
  <c r="W69" i="2"/>
  <c r="W65" i="2"/>
  <c r="W61" i="2"/>
  <c r="S59" i="2"/>
  <c r="S57" i="2"/>
  <c r="W57" i="2"/>
  <c r="R57" i="2"/>
  <c r="W52" i="2"/>
  <c r="S51" i="2"/>
  <c r="S49" i="2"/>
  <c r="W49" i="2"/>
  <c r="R49" i="2"/>
  <c r="W44" i="2"/>
  <c r="S43" i="2"/>
  <c r="S41" i="2"/>
  <c r="W41" i="2"/>
  <c r="R41" i="2"/>
  <c r="W36" i="2"/>
  <c r="U35" i="2"/>
  <c r="S35" i="2"/>
  <c r="R35" i="2"/>
  <c r="V33" i="2"/>
  <c r="V31" i="2"/>
  <c r="V25" i="2"/>
  <c r="V23" i="2"/>
  <c r="V17" i="2"/>
  <c r="V15" i="2"/>
  <c r="V9" i="2"/>
  <c r="V7" i="2"/>
  <c r="T32" i="2"/>
  <c r="T28" i="2"/>
  <c r="T24" i="2"/>
  <c r="T20" i="2"/>
  <c r="T16" i="2"/>
  <c r="T12" i="2"/>
  <c r="T8" i="2"/>
  <c r="T4" i="2"/>
  <c r="V32" i="2"/>
  <c r="V28" i="2"/>
  <c r="V24" i="2"/>
  <c r="V20" i="2"/>
  <c r="V16" i="2"/>
  <c r="V12" i="2"/>
  <c r="V8" i="2"/>
  <c r="V4" i="2"/>
  <c r="S3" i="2"/>
  <c r="X40" i="2" l="1"/>
  <c r="X112" i="2"/>
  <c r="X52" i="2"/>
  <c r="X29" i="2"/>
  <c r="X53" i="2"/>
  <c r="X75" i="2"/>
  <c r="X63" i="2"/>
  <c r="X100" i="2"/>
  <c r="X101" i="2"/>
  <c r="W20" i="12" s="1"/>
  <c r="X81" i="2"/>
  <c r="X105" i="2"/>
  <c r="X32" i="2"/>
  <c r="X7" i="2"/>
  <c r="X20" i="2"/>
  <c r="X97" i="2"/>
  <c r="X16" i="2"/>
  <c r="X24" i="2"/>
  <c r="X28" i="2"/>
  <c r="X57" i="2"/>
  <c r="X74" i="2"/>
  <c r="X110" i="2"/>
  <c r="X65" i="2"/>
  <c r="X26" i="2"/>
  <c r="W15" i="12" s="1"/>
  <c r="W17" i="12"/>
  <c r="W21" i="12"/>
  <c r="X46" i="2"/>
  <c r="X34" i="2"/>
  <c r="X102" i="2"/>
  <c r="X76" i="2"/>
  <c r="X92" i="2"/>
  <c r="X108" i="2"/>
  <c r="X96" i="2"/>
  <c r="X21" i="2"/>
  <c r="W26" i="12" s="1"/>
  <c r="X79" i="2"/>
  <c r="X83" i="2"/>
  <c r="X104" i="2"/>
  <c r="X22" i="2"/>
  <c r="X86" i="2"/>
  <c r="X10" i="2"/>
  <c r="X38" i="2"/>
  <c r="X85" i="2"/>
  <c r="X109" i="2"/>
  <c r="X106" i="2"/>
  <c r="X6" i="2"/>
  <c r="W63" i="12" s="1"/>
  <c r="X70" i="2"/>
  <c r="X98" i="2"/>
  <c r="X43" i="2"/>
  <c r="X23" i="2"/>
  <c r="X113" i="2"/>
  <c r="X11" i="2"/>
  <c r="X82" i="2"/>
  <c r="X37" i="2"/>
  <c r="X59" i="2"/>
  <c r="W28" i="12" s="1"/>
  <c r="X8" i="2"/>
  <c r="X9" i="2"/>
  <c r="X17" i="2"/>
  <c r="W36" i="12" s="1"/>
  <c r="X45" i="2"/>
  <c r="X15" i="2"/>
  <c r="W72" i="12" s="1"/>
  <c r="X44" i="2"/>
  <c r="X60" i="2"/>
  <c r="W41" i="12" s="1"/>
  <c r="X35" i="2"/>
  <c r="X41" i="2"/>
  <c r="X36" i="2"/>
  <c r="X13" i="2"/>
  <c r="W48" i="12" s="1"/>
  <c r="X80" i="2"/>
  <c r="X107" i="2"/>
  <c r="X27" i="2"/>
  <c r="W46" i="12" s="1"/>
  <c r="X56" i="2"/>
  <c r="W24" i="12" s="1"/>
  <c r="X68" i="2"/>
  <c r="X95" i="2"/>
  <c r="X55" i="2"/>
  <c r="X67" i="2"/>
  <c r="X88" i="2"/>
  <c r="X25" i="2"/>
  <c r="W25" i="12" s="1"/>
  <c r="X62" i="2"/>
  <c r="X78" i="2"/>
  <c r="X50" i="2"/>
  <c r="X61" i="2"/>
  <c r="X77" i="2"/>
  <c r="X66" i="2"/>
  <c r="X51" i="2"/>
  <c r="X3" i="2"/>
  <c r="W33" i="12" s="1"/>
  <c r="X90" i="2"/>
  <c r="X4" i="2"/>
  <c r="W71" i="12" s="1"/>
  <c r="X12" i="2"/>
  <c r="X33" i="2"/>
  <c r="X69" i="2"/>
  <c r="X93" i="2"/>
  <c r="X14" i="2"/>
  <c r="X31" i="2"/>
  <c r="X39" i="2"/>
  <c r="X99" i="2"/>
  <c r="X73" i="2"/>
  <c r="X49" i="2"/>
  <c r="X19" i="2"/>
  <c r="X71" i="2"/>
  <c r="X87" i="2"/>
  <c r="X103" i="2"/>
  <c r="W19" i="12" s="1"/>
  <c r="X48" i="2"/>
  <c r="X64" i="2"/>
  <c r="X91" i="2"/>
  <c r="X5" i="2"/>
  <c r="W70" i="12" s="1"/>
  <c r="X47" i="2"/>
  <c r="X84" i="2"/>
  <c r="X111" i="2"/>
  <c r="X72" i="2"/>
  <c r="X89" i="2"/>
  <c r="X114" i="2"/>
  <c r="X42" i="2"/>
  <c r="X58" i="2"/>
  <c r="X18" i="2"/>
  <c r="X30" i="2"/>
  <c r="X54" i="2"/>
  <c r="X94" i="2"/>
  <c r="W34" i="12" l="1"/>
  <c r="W18" i="12"/>
  <c r="W23" i="12"/>
  <c r="W22" i="12"/>
  <c r="W27" i="12"/>
  <c r="H24" i="11" l="1"/>
  <c r="H65" i="12"/>
  <c r="H28" i="12"/>
  <c r="H41" i="11"/>
  <c r="H36" i="12"/>
  <c r="H15" i="11"/>
  <c r="H21" i="12"/>
  <c r="H70" i="11"/>
  <c r="H23" i="12"/>
  <c r="H84" i="11"/>
  <c r="H75" i="11"/>
  <c r="H25" i="12"/>
  <c r="H27" i="12"/>
  <c r="H29" i="11"/>
  <c r="H24" i="12"/>
  <c r="H56" i="11"/>
  <c r="H15" i="12"/>
  <c r="H74" i="11"/>
  <c r="K65" i="12" l="1"/>
  <c r="K24" i="11"/>
  <c r="K30" i="11"/>
  <c r="K41" i="12"/>
  <c r="K60" i="11"/>
  <c r="K26" i="12"/>
  <c r="K21" i="11"/>
  <c r="K48" i="12"/>
  <c r="K72" i="12"/>
  <c r="K39" i="11"/>
  <c r="K20" i="12"/>
  <c r="K83" i="11"/>
  <c r="K15" i="11"/>
  <c r="K36" i="12"/>
  <c r="L36" i="12"/>
  <c r="L15" i="11"/>
  <c r="H39" i="11"/>
  <c r="H72" i="12"/>
  <c r="K29" i="11"/>
  <c r="K27" i="12"/>
  <c r="K35" i="11"/>
  <c r="K70" i="12"/>
  <c r="K24" i="12"/>
  <c r="K56" i="11"/>
  <c r="K80" i="11"/>
  <c r="K22" i="12"/>
  <c r="K74" i="11"/>
  <c r="K15" i="12"/>
  <c r="K84" i="11"/>
  <c r="K23" i="12"/>
  <c r="K75" i="11"/>
  <c r="K25" i="12"/>
  <c r="K26" i="11"/>
  <c r="K71" i="12"/>
  <c r="K70" i="11"/>
  <c r="K21" i="12"/>
  <c r="K85" i="11"/>
  <c r="K19" i="12"/>
  <c r="L39" i="11"/>
  <c r="L72" i="12"/>
  <c r="K37" i="11"/>
  <c r="K34" i="12"/>
  <c r="K46" i="12"/>
  <c r="K55" i="11"/>
  <c r="K41" i="11"/>
  <c r="K28" i="12"/>
  <c r="K33" i="12"/>
  <c r="K38" i="11"/>
  <c r="H30" i="11" l="1"/>
  <c r="H41" i="12"/>
  <c r="H55" i="11" l="1"/>
  <c r="H46" i="12"/>
  <c r="H26" i="12"/>
  <c r="H60" i="11"/>
  <c r="H48" i="12" l="1"/>
  <c r="H21" i="11"/>
  <c r="L35" i="11"/>
  <c r="L70" i="12"/>
  <c r="L37" i="11"/>
  <c r="L34" i="12"/>
  <c r="H35" i="11"/>
  <c r="H70" i="12"/>
  <c r="L71" i="12"/>
  <c r="L26" i="11"/>
  <c r="H37" i="11"/>
  <c r="H34" i="12"/>
  <c r="L48" i="12"/>
  <c r="L21" i="11"/>
  <c r="H26" i="11"/>
  <c r="H71" i="12"/>
  <c r="L33" i="12" l="1"/>
  <c r="L38" i="11"/>
  <c r="H33" i="12"/>
  <c r="H38" i="11"/>
  <c r="L65" i="12" l="1"/>
  <c r="L24" i="11"/>
  <c r="L75" i="11"/>
  <c r="L25" i="12"/>
  <c r="L21" i="12"/>
  <c r="L70" i="11"/>
  <c r="L41" i="12" l="1"/>
  <c r="L30" i="11"/>
  <c r="L56" i="11"/>
  <c r="L24" i="12"/>
  <c r="L27" i="12"/>
  <c r="L29" i="11"/>
  <c r="L74" i="11"/>
  <c r="L15" i="12"/>
  <c r="L26" i="12"/>
  <c r="L60" i="11"/>
  <c r="L41" i="11"/>
  <c r="L28" i="12"/>
  <c r="L55" i="11"/>
  <c r="L46" i="12"/>
  <c r="L84" i="11"/>
  <c r="L23" i="12"/>
  <c r="H20" i="12" l="1"/>
  <c r="H83" i="11"/>
  <c r="L83" i="11"/>
  <c r="L20" i="12"/>
  <c r="H80" i="11"/>
  <c r="H22" i="12"/>
  <c r="H85" i="11"/>
  <c r="H19" i="12"/>
  <c r="L19" i="12"/>
  <c r="L85" i="11"/>
  <c r="L80" i="11" l="1"/>
  <c r="L22" i="12"/>
</calcChain>
</file>

<file path=xl/sharedStrings.xml><?xml version="1.0" encoding="utf-8"?>
<sst xmlns="http://schemas.openxmlformats.org/spreadsheetml/2006/main" count="10325" uniqueCount="1173">
  <si>
    <t>#</t>
  </si>
  <si>
    <t>Source Category</t>
  </si>
  <si>
    <t>Emission Reduction Measure Name</t>
  </si>
  <si>
    <t>Target Pollutant(s): NOx and/or VOC</t>
  </si>
  <si>
    <r>
      <t>% Penetration</t>
    </r>
    <r>
      <rPr>
        <b/>
        <vertAlign val="superscript"/>
        <sz val="10"/>
        <color rgb="FF000000"/>
        <rFont val="Calibri"/>
        <family val="2"/>
        <scheme val="minor"/>
      </rPr>
      <t xml:space="preserve"> [2]</t>
    </r>
  </si>
  <si>
    <r>
      <t xml:space="preserve">Control Efficiency (% reduction) </t>
    </r>
    <r>
      <rPr>
        <b/>
        <vertAlign val="superscript"/>
        <sz val="10"/>
        <color rgb="FF000000"/>
        <rFont val="Calibri"/>
        <family val="2"/>
        <scheme val="minor"/>
      </rPr>
      <t>[1]</t>
    </r>
  </si>
  <si>
    <r>
      <t xml:space="preserve">Cost Effectiveness ($/ton) </t>
    </r>
    <r>
      <rPr>
        <b/>
        <vertAlign val="superscript"/>
        <sz val="10"/>
        <color rgb="FF000000"/>
        <rFont val="Calibri"/>
        <family val="2"/>
        <scheme val="minor"/>
      </rPr>
      <t>[1]</t>
    </r>
  </si>
  <si>
    <t>Comments</t>
  </si>
  <si>
    <t>Reference(s)</t>
  </si>
  <si>
    <t>P - 1</t>
  </si>
  <si>
    <t>External Combustion Boilers - Electricity Generation- Anthracite Coal or Subbituminous/ Bituminous Coal</t>
  </si>
  <si>
    <t>Selective Non-Catalytic Reduction</t>
  </si>
  <si>
    <t>NOx</t>
  </si>
  <si>
    <t>P - 2</t>
  </si>
  <si>
    <t>Utility Boiler - Bituminous Coal Wall Fired</t>
  </si>
  <si>
    <t>Low NOx Burner and Over Fire Air</t>
  </si>
  <si>
    <t>P - 3</t>
  </si>
  <si>
    <t xml:space="preserve">Utility Boiler - Bituminous Coal/ Wall Fired  </t>
  </si>
  <si>
    <t>Low NOx Burner</t>
  </si>
  <si>
    <t>P - 4</t>
  </si>
  <si>
    <t>Utility Boiler - Coal/ Wall Fired</t>
  </si>
  <si>
    <t>Selective Catalytic Reduction</t>
  </si>
  <si>
    <t>P - 13</t>
  </si>
  <si>
    <t>Utility Boiler - Subbituminous Coal -Wall Fired</t>
  </si>
  <si>
    <t>P - 15</t>
  </si>
  <si>
    <t>Coal Fired EGU</t>
  </si>
  <si>
    <t>Non-Thermal Plasma</t>
  </si>
  <si>
    <t>P - 18</t>
  </si>
  <si>
    <t>Cement Kilns</t>
  </si>
  <si>
    <t>Biosolid Injection Technology</t>
  </si>
  <si>
    <t>P - 19</t>
  </si>
  <si>
    <t>Changing feed composition</t>
  </si>
  <si>
    <t>P - 23</t>
  </si>
  <si>
    <t>Cement Manufacturing - Dry Process or Wet Process</t>
  </si>
  <si>
    <t>P - 24</t>
  </si>
  <si>
    <t>Mid-Kiln Firing</t>
  </si>
  <si>
    <t>P - 25</t>
  </si>
  <si>
    <t>NA</t>
  </si>
  <si>
    <t>Iron &amp; Steel Mills - Reheating</t>
  </si>
  <si>
    <t>P - 45</t>
  </si>
  <si>
    <t>P - 46</t>
  </si>
  <si>
    <t>P - 47</t>
  </si>
  <si>
    <t>P - 54</t>
  </si>
  <si>
    <t>Industrial Natural Gas Internal Combustion Engines - 4cycle (rich)</t>
  </si>
  <si>
    <t>Non-Selective Catalytic Reduction</t>
  </si>
  <si>
    <t>Internal Combustion Engines - Natural Gas</t>
  </si>
  <si>
    <t>P - 56</t>
  </si>
  <si>
    <t>Low Emissions Combustion (Medium Speed)</t>
  </si>
  <si>
    <t>P - 57</t>
  </si>
  <si>
    <t>P - 58</t>
  </si>
  <si>
    <t>P - 59</t>
  </si>
  <si>
    <t>Petroleum Refinery Fugitives</t>
  </si>
  <si>
    <t>Process Modification</t>
  </si>
  <si>
    <t>VOC</t>
  </si>
  <si>
    <t>Petroleum Refinery</t>
  </si>
  <si>
    <t>P - 99</t>
  </si>
  <si>
    <t>Fiber-Bed Scrubbers</t>
  </si>
  <si>
    <t>P - 100</t>
  </si>
  <si>
    <t>Coke By-Product Recovery Operations</t>
  </si>
  <si>
    <t>Spray-Chamber/Spray-Tower Wet Scrubber</t>
  </si>
  <si>
    <t>P - 101</t>
  </si>
  <si>
    <t>Packed-Bed/Packed-Tower Scrubber with Solvent Adsorption</t>
  </si>
  <si>
    <t>Notes</t>
  </si>
  <si>
    <t>[1] Values presented here may represent averages from range of estimates. This averages are used for the purpose of screening and ranking potential measures. Detailed values will be used in final measures short-list</t>
  </si>
  <si>
    <t>[2] Penetration will vary from program to program and information not available. Assumed 10% as easily scalable value</t>
  </si>
  <si>
    <t>Measure #</t>
  </si>
  <si>
    <t>Pollutant</t>
  </si>
  <si>
    <t>Illinois</t>
  </si>
  <si>
    <t>Indiana</t>
  </si>
  <si>
    <t>Michigan</t>
  </si>
  <si>
    <t>Minnesota</t>
  </si>
  <si>
    <t>Ohio</t>
  </si>
  <si>
    <t>Wisconsin</t>
  </si>
  <si>
    <t>NOTES/Color legend:</t>
  </si>
  <si>
    <t>These absolute emission reductions by state are based on calculated reductions to 2016v1 modeling platform emissions. They do not account for possible overlapping reductions from existing OTB regulations affecting the same SCCs</t>
  </si>
  <si>
    <t>% Penetration [2]</t>
  </si>
  <si>
    <t>% LADCO-wide emissions subject to measure</t>
  </si>
  <si>
    <t>Residential/Commercial/Industrial Boilers, Heaters and IC Engines - Natural gas (nonpoint)</t>
  </si>
  <si>
    <t>NP - 1</t>
  </si>
  <si>
    <t>Commercial/ Institutional Natural Gas</t>
  </si>
  <si>
    <t>Natural Gas Water Heater Replacement</t>
  </si>
  <si>
    <t>NP - 5</t>
  </si>
  <si>
    <t>Boilers, Steam Generators and Process Heaters</t>
  </si>
  <si>
    <t>Rules 4306, 4320 Advanced Emission Reduction Options for Boilers, Steam Generators, and Process Heaters</t>
  </si>
  <si>
    <t>NP - 6</t>
  </si>
  <si>
    <t>Residential/Commercial/ Institutional Water Heaters and/or Space Heaters</t>
  </si>
  <si>
    <t>Low NOx Water Heaters and Low NOx Burner Space Heaters</t>
  </si>
  <si>
    <t>NP - 7</t>
  </si>
  <si>
    <t>Commercial/Residential Heaters/Boilers</t>
  </si>
  <si>
    <t>Zero and Near-Zero Emission Burners and Incentives</t>
  </si>
  <si>
    <t>NP - 8</t>
  </si>
  <si>
    <t>Other combustion (industrial wood, residential/industrial propane, gas/oil/LPG/wood-fired heaters etc.)</t>
  </si>
  <si>
    <t>Open Burning/Prescribed Forest Burning</t>
  </si>
  <si>
    <t>NP - 13</t>
  </si>
  <si>
    <t>Open Burning</t>
  </si>
  <si>
    <t>Episodic Ban (Daily Only)</t>
  </si>
  <si>
    <t>Emissions-Intensive Solvent Utilization Categories : Architectural Coatings, Graphic Arts and Degreasing</t>
  </si>
  <si>
    <t>VOC Content Limits</t>
  </si>
  <si>
    <t>NP - 21</t>
  </si>
  <si>
    <t>NP - 23</t>
  </si>
  <si>
    <t>Solvents: Consumer, Commercial, Household, Personal Care Products</t>
  </si>
  <si>
    <t>NP - 25</t>
  </si>
  <si>
    <t>NP - 26</t>
  </si>
  <si>
    <t>Consumer Products</t>
  </si>
  <si>
    <t>California Consumer Products Rules Cumulative through 2010 Proposed Amendments</t>
  </si>
  <si>
    <t>Surface Coating and Other Solvents</t>
  </si>
  <si>
    <t>NP - 43</t>
  </si>
  <si>
    <t>Architectural, Traffic, and Industrial Maintenance Coatings</t>
  </si>
  <si>
    <t>Ozone Transport Commission (OTC) Model Rule  and South Coast -Rule 1113 Phase III VOC limits</t>
  </si>
  <si>
    <t>NP - 48</t>
  </si>
  <si>
    <t>Metal Furniture Surface Coating</t>
  </si>
  <si>
    <t>Reduced Solvent Utilization</t>
  </si>
  <si>
    <t>Reformulation-Process Modification</t>
  </si>
  <si>
    <t>NP - 55</t>
  </si>
  <si>
    <t>NP - 58</t>
  </si>
  <si>
    <t>Miscellaneous Industrial Adhesives</t>
  </si>
  <si>
    <t>NP - 61</t>
  </si>
  <si>
    <t>Low VOC Adhesives and Improved Application Methods</t>
  </si>
  <si>
    <t>NP - 62</t>
  </si>
  <si>
    <t>Industrial Cleaning Solvents</t>
  </si>
  <si>
    <t>Work practice standards, solvent substitution, and add-on controls</t>
  </si>
  <si>
    <t>Oil and Gas</t>
  </si>
  <si>
    <t>Petroleum Product Storage, Transport, Processing</t>
  </si>
  <si>
    <t>NP - 72</t>
  </si>
  <si>
    <t>Other Stationary Sources (&lt;0.5% contribution to NOx/VOC inventory)</t>
  </si>
  <si>
    <t>NP - 77</t>
  </si>
  <si>
    <t>Cutback Asphalt</t>
  </si>
  <si>
    <t>NP - 78</t>
  </si>
  <si>
    <t>Green-waste Composting</t>
  </si>
  <si>
    <t>Organic Waste Processing Technology and Restriction on the Use of Uncomposed Greenwaste</t>
  </si>
  <si>
    <t>NP - 81</t>
  </si>
  <si>
    <t>Municipal Solid Waste Landfill</t>
  </si>
  <si>
    <t>Gas Recovery</t>
  </si>
  <si>
    <t>General Stationary Sources</t>
  </si>
  <si>
    <t>NP - 83</t>
  </si>
  <si>
    <t>Weatherization and Smart Grid Electricity Usage</t>
  </si>
  <si>
    <t>NP - 84</t>
  </si>
  <si>
    <t xml:space="preserve">Financial Incentive Programs: Transition to Zero and Near-Zero Emission Technologies for Stationary Sources </t>
  </si>
  <si>
    <t>Measures suggested by LADCO/states</t>
  </si>
  <si>
    <t>[1]</t>
  </si>
  <si>
    <t>Values are averages of ranges found in literature</t>
  </si>
  <si>
    <t>[2]</t>
  </si>
  <si>
    <t>Penetration values not readily available. Values will vary from program to program and location. Assumed 10% as easily scalable number</t>
  </si>
  <si>
    <t>% Penetration</t>
  </si>
  <si>
    <t>Onroad</t>
  </si>
  <si>
    <t>Gasoline Vehicles</t>
  </si>
  <si>
    <t>O-5, O-6</t>
  </si>
  <si>
    <t>Passenger Vehicles and Motorcycles</t>
  </si>
  <si>
    <t>Accelerated Penetration of Partial Zero (PHEV) Emission and Zero Emission Vehicles</t>
  </si>
  <si>
    <t>O-10</t>
  </si>
  <si>
    <t>Heavy Duty Diesel Vehicles</t>
  </si>
  <si>
    <t>Ultra-Low NOx Engine Replacement</t>
  </si>
  <si>
    <t>O-11</t>
  </si>
  <si>
    <t>Heavy Duty Diesel Vehicles and Buses</t>
  </si>
  <si>
    <t>Accelerated Fleet Turnover / Retrofit Requirements</t>
  </si>
  <si>
    <t>O-15</t>
  </si>
  <si>
    <t>O-16</t>
  </si>
  <si>
    <t>Heavy Duty Vehicles (&gt;14,001 lbs)</t>
  </si>
  <si>
    <t>Accelerated Deployment of Near-zero and Zero-Emission Trucks</t>
  </si>
  <si>
    <t>Off-road</t>
  </si>
  <si>
    <t>N-1</t>
  </si>
  <si>
    <t>Off-road Engines</t>
  </si>
  <si>
    <t>Repowering Engines</t>
  </si>
  <si>
    <t>N-16</t>
  </si>
  <si>
    <t>Off-Road Diesel-Fueled Construction, Industrial Equipment, Airport Ground Support Equipment, and Drilling Equipment</t>
  </si>
  <si>
    <t>Accelerated Deployment of Near-zero and Zero-Emission Equipment</t>
  </si>
  <si>
    <t>N-17</t>
  </si>
  <si>
    <t xml:space="preserve">Off-Road Diesel-Fueled Construction, Industrial Equipment, Airport Ground Support Equipment, and Drilling Equipment </t>
  </si>
  <si>
    <t>Accelerated Turnover or Retrofit of Older Equipment and Engines (Tier 0 to Tier4)</t>
  </si>
  <si>
    <t>Rail</t>
  </si>
  <si>
    <t>R-2</t>
  </si>
  <si>
    <t>Locomotives</t>
  </si>
  <si>
    <t>R-4</t>
  </si>
  <si>
    <t>Marine</t>
  </si>
  <si>
    <t xml:space="preserve">Commercial Marine Engines </t>
  </si>
  <si>
    <t>M-6</t>
  </si>
  <si>
    <t>Vessel Speed Reduction</t>
  </si>
  <si>
    <t>Airports</t>
  </si>
  <si>
    <t>Aircraft Ground Support Equipment</t>
  </si>
  <si>
    <t>Additional measures suggested by states/LADCO</t>
  </si>
  <si>
    <t>O-33</t>
  </si>
  <si>
    <t>Passenger Cars and LDTs</t>
  </si>
  <si>
    <t>Encourage Telecommuting and Alternative Work Schedules (TR-6)</t>
  </si>
  <si>
    <t>O-34</t>
  </si>
  <si>
    <t>Land Use: Increase Transit Accessibility (LUT-5)</t>
  </si>
  <si>
    <t>O-35</t>
  </si>
  <si>
    <t>Land Use: Increase density in Land Use Planning (LUT-1)</t>
  </si>
  <si>
    <t>O-36</t>
  </si>
  <si>
    <t>Land Use: Increase Diversity of Urban and Suburban Developments (Mixed Use) LUT-3</t>
  </si>
  <si>
    <t>O-39</t>
  </si>
  <si>
    <t>O-40</t>
  </si>
  <si>
    <t>Heavy Duty Trucks</t>
  </si>
  <si>
    <t>Last Mile Delivery</t>
  </si>
  <si>
    <t>O-41</t>
  </si>
  <si>
    <t>Commercial Vehicles or Motor Vehicles</t>
  </si>
  <si>
    <t>Anti-Idling Ordinance</t>
  </si>
  <si>
    <t>N-18</t>
  </si>
  <si>
    <t>Lawn and Garden Equipment</t>
  </si>
  <si>
    <t>Electrification (Zero-Emission Landscaping Equipment Incentive Programs)</t>
  </si>
  <si>
    <t>General</t>
  </si>
  <si>
    <t>O-1</t>
  </si>
  <si>
    <t>O-3</t>
  </si>
  <si>
    <t>O-8</t>
  </si>
  <si>
    <t>O-12</t>
  </si>
  <si>
    <t>O-17</t>
  </si>
  <si>
    <t>O-31</t>
  </si>
  <si>
    <t>A-2</t>
  </si>
  <si>
    <t xml:space="preserve">Alternative Fuels - CNG/LPG </t>
  </si>
  <si>
    <t xml:space="preserve">Implement Mandatory Commute Trip Reduction Program (TRT-2)
</t>
  </si>
  <si>
    <t>O-42</t>
  </si>
  <si>
    <t>Commercial Vehicles (&gt;8,500 lbs)</t>
  </si>
  <si>
    <t>Idling Prohibition</t>
  </si>
  <si>
    <t>Opt into Reformulated Gasoline (RFG) Standards</t>
  </si>
  <si>
    <t>Petition EPA to Remove the 1 Psi Allowance for 9-10% Ethanol Blends</t>
  </si>
  <si>
    <t>Diesel Vehicles</t>
  </si>
  <si>
    <t>Fuel Composition Requirements (e.g., TxLED)</t>
  </si>
  <si>
    <t>Diesel Vehicles - Heavy Duty Tractors</t>
  </si>
  <si>
    <t>Aerodynamic Devices</t>
  </si>
  <si>
    <t>Commercial Airport Ground Access Vehicles</t>
  </si>
  <si>
    <t>Alternative Fuel or Clean Burning Commercial Airport Ground Access Vehicle Fleet Requirements</t>
  </si>
  <si>
    <t>Absolute Reductions (TPY) - Based on 2028 Inventory</t>
  </si>
  <si>
    <t>Estimated Absolute Emissions Reduction After Control (tpy) - Year 2028</t>
  </si>
  <si>
    <t>Mobile_state_reductions</t>
  </si>
  <si>
    <t>Point_state_reductions</t>
  </si>
  <si>
    <t>TAB</t>
  </si>
  <si>
    <t>Description</t>
  </si>
  <si>
    <t>control option descriptive information for mobile sources</t>
  </si>
  <si>
    <t>control option descriptive information for nonpoint sources</t>
  </si>
  <si>
    <t>control option descriptive information for point sources</t>
  </si>
  <si>
    <t>by state emission reductions for mobile sources</t>
  </si>
  <si>
    <t>by state emission reductions for nonpoint sources</t>
  </si>
  <si>
    <t>by state emission reductions for point sources</t>
  </si>
  <si>
    <t>Nonpoint</t>
  </si>
  <si>
    <t>Point</t>
  </si>
  <si>
    <t>Mobile</t>
  </si>
  <si>
    <t>C-E</t>
  </si>
  <si>
    <t>EmissRed</t>
  </si>
  <si>
    <t>Top Ten List</t>
  </si>
  <si>
    <t>Shortlist</t>
  </si>
  <si>
    <t>Top Ten Lists</t>
  </si>
  <si>
    <t>Mobile_Options</t>
  </si>
  <si>
    <t>Point_Options</t>
  </si>
  <si>
    <t>Sorted by emission reductions (largest to smallest)</t>
  </si>
  <si>
    <t>C-E Rank</t>
  </si>
  <si>
    <t>Emission Reduction Rank</t>
  </si>
  <si>
    <t>Permanent</t>
  </si>
  <si>
    <t>Quantifiable</t>
  </si>
  <si>
    <t>Surplus</t>
  </si>
  <si>
    <t>Enforceable</t>
  </si>
  <si>
    <t>Technical / Implementation Feasibility</t>
  </si>
  <si>
    <t>Y</t>
  </si>
  <si>
    <t>High</t>
  </si>
  <si>
    <t>Public Acceptance</t>
  </si>
  <si>
    <t>Med</t>
  </si>
  <si>
    <t>reductions not otherwise required by Federal, State or local regulations, and for which emission reduction credit has not already been taken</t>
  </si>
  <si>
    <t>reductions can be reliably calculated, method of calculation can be replicated</t>
  </si>
  <si>
    <t>reduction continue to occur at the estimated level throughout the lifetime of the measure</t>
  </si>
  <si>
    <t>reductions enforceable at the Federal and State levels</t>
  </si>
  <si>
    <t>C-E_Shortlist</t>
  </si>
  <si>
    <t>EmissRed_Shortlist</t>
  </si>
  <si>
    <t>Qualitative Metrics</t>
  </si>
  <si>
    <t>Y (WI)</t>
  </si>
  <si>
    <t>Y (IL, IN, MI, MN, OH, WI)</t>
  </si>
  <si>
    <t>Y (IL, IN, MI, OH, WI)</t>
  </si>
  <si>
    <t>Y (IL, IN, MI, OH)</t>
  </si>
  <si>
    <t>for "Surplus", parentheses indicate state(s) w/ regulation(s) applicable to the source category and potential for non-surplus reductions based on existing regulations compilation</t>
  </si>
  <si>
    <t>IL</t>
  </si>
  <si>
    <t>IN</t>
  </si>
  <si>
    <t>MI</t>
  </si>
  <si>
    <t>MN</t>
  </si>
  <si>
    <t>OH</t>
  </si>
  <si>
    <t>WI</t>
  </si>
  <si>
    <t>NP</t>
  </si>
  <si>
    <t>Mob</t>
  </si>
  <si>
    <t>P</t>
  </si>
  <si>
    <t>Potentially Overlapping/Applicable Regulations</t>
  </si>
  <si>
    <t>for "Surplus", parentheses indicate state(s) w/ regulation(s) potentially applicable to the source category and possibility of non-surplus reductions based on existing regulations compilation</t>
  </si>
  <si>
    <t>control option shortlist sorted by cost-effectiveness</t>
  </si>
  <si>
    <t>control option shortlist sorted by emission reductions</t>
  </si>
  <si>
    <t>Nonpoint_Options</t>
  </si>
  <si>
    <t>Nonpoint_state_reductions</t>
  </si>
  <si>
    <t>NA: data not available</t>
  </si>
  <si>
    <t>Potential reduction from overlapping regulations will considered for white paper measures, after the initial master list screening</t>
  </si>
  <si>
    <t>[3]</t>
  </si>
  <si>
    <r>
      <t xml:space="preserve">% LADCO-wide emissions subject to measure </t>
    </r>
    <r>
      <rPr>
        <b/>
        <vertAlign val="superscript"/>
        <sz val="10"/>
        <color rgb="FF000000"/>
        <rFont val="Calibri"/>
        <family val="2"/>
        <scheme val="minor"/>
      </rPr>
      <t>[3]</t>
    </r>
  </si>
  <si>
    <r>
      <t xml:space="preserve">% LADCO-wide inventory affected </t>
    </r>
    <r>
      <rPr>
        <b/>
        <vertAlign val="superscript"/>
        <sz val="10"/>
        <color rgb="FF000000"/>
        <rFont val="Calibri"/>
        <family val="2"/>
        <scheme val="minor"/>
      </rPr>
      <t>[3]</t>
    </r>
  </si>
  <si>
    <t xml:space="preserve">1) the percent penetration assumed </t>
  </si>
  <si>
    <t>2) the percent of emissions sources affected (SCCs selection will be refined for those measures that are reviewed in more detail during white paper stage).</t>
  </si>
  <si>
    <t xml:space="preserve">In addition to screening level emission reductions, we recommend using qualitative markers as well as cost effectiveness (C-E) to evaluate which control options are best fits for more detailed analysis. </t>
  </si>
  <si>
    <t>Sorted by cost-effectiveness (smallest to largest)</t>
  </si>
  <si>
    <t xml:space="preserve"> Therefore, control options will accrue lower or higher reductions than shown in the screening analysis based on refined white paper analysis</t>
  </si>
  <si>
    <t>except measures with very small emissions reductions which are located at the bottom of the table</t>
  </si>
  <si>
    <t>Estimated Absolute Emissions Reduction After Control (tpy) - Year 2028*</t>
  </si>
  <si>
    <t xml:space="preserve">*Please note that estimated reductions by control option are approximations based on </t>
  </si>
  <si>
    <t>Control Efficiency (% reduction)</t>
  </si>
  <si>
    <t>Cost Effectiveness ($/ton)</t>
  </si>
  <si>
    <t xml:space="preserve">Cost Effectiveness ($/ton) </t>
  </si>
  <si>
    <t xml:space="preserve">Control Efficiency (% reduction) </t>
  </si>
  <si>
    <t xml:space="preserve">[2] Values represent percent of total (VOC or NOx) 2028 LADCO-wide inventory affected by measured. Based on source category. </t>
  </si>
  <si>
    <t xml:space="preserve">Values represent percent of total (VOC or NOx) 2028 LADCO-wide inventory affected by measured. Based on source category. </t>
  </si>
  <si>
    <t xml:space="preserve"> Values represent percent of total (VOC or NOx) 2028 LADCO-wide inventory affected by measured. Based on source category. </t>
  </si>
  <si>
    <t>.</t>
  </si>
  <si>
    <t>Select Reference(s)</t>
  </si>
  <si>
    <t>Emission Reductions</t>
  </si>
  <si>
    <t>On Previous List?</t>
  </si>
  <si>
    <t>CE</t>
  </si>
  <si>
    <t>N</t>
  </si>
  <si>
    <t>R-Select</t>
  </si>
  <si>
    <t>NP - 35</t>
  </si>
  <si>
    <t>NP - 19</t>
  </si>
  <si>
    <t>NP - 41</t>
  </si>
  <si>
    <t>NP - 32</t>
  </si>
  <si>
    <t>NP - 59</t>
  </si>
  <si>
    <t>P - 11</t>
  </si>
  <si>
    <t>P - 12</t>
  </si>
  <si>
    <t>O-15NOx</t>
  </si>
  <si>
    <t>NP - 58VOC</t>
  </si>
  <si>
    <t>NP - 55VOC</t>
  </si>
  <si>
    <t>NP - 25VOC</t>
  </si>
  <si>
    <t>NP - 8NOx</t>
  </si>
  <si>
    <t>NP - 23VOC</t>
  </si>
  <si>
    <t>NP - 21VOC</t>
  </si>
  <si>
    <t>P - 46NOx</t>
  </si>
  <si>
    <t>P - 47NOx</t>
  </si>
  <si>
    <t>P - 59NOx</t>
  </si>
  <si>
    <t>P - 4NOx</t>
  </si>
  <si>
    <t>Adhesives and Coatings</t>
  </si>
  <si>
    <t>UV/EB-Cured Adhesives and Coatings</t>
  </si>
  <si>
    <t>Graphic Arts</t>
  </si>
  <si>
    <t>VOC Coating Content Limits</t>
  </si>
  <si>
    <t>Coatings and Ink Manufacturing</t>
  </si>
  <si>
    <t>UV/EB-Cured Coatings &amp; Inks</t>
  </si>
  <si>
    <t>Adhesive and Sealant Applications</t>
  </si>
  <si>
    <t>Linehaul Idling Reduction</t>
  </si>
  <si>
    <t>Cement Manufacturing - Wet Process</t>
  </si>
  <si>
    <t>Solvent substitution</t>
  </si>
  <si>
    <t>Switcher Idling Reduction</t>
  </si>
  <si>
    <t>measures not on previous shortlist are highlighted below</t>
  </si>
  <si>
    <t>see tab 'shortlist' xref for measures on the previous list that were dropped</t>
  </si>
  <si>
    <t>Major Updates from Previous Version in Response to Agency Comments</t>
  </si>
  <si>
    <t>* Re-evaluated SCCs associated with each control option which resulted in changes to estimated emission reductions for several control options</t>
  </si>
  <si>
    <t>* Filled in control efficiency and cost-effectiveness for several control options for which estimates were not included previously</t>
  </si>
  <si>
    <t>Change to % Penetration</t>
  </si>
  <si>
    <t>Change to Control Efficiency (% reduction) [1]</t>
  </si>
  <si>
    <t>Change to Cost Effectiveness ($/ton) [1]</t>
  </si>
  <si>
    <t>Change to % LADCO-wide emissions subject to measure [2]</t>
  </si>
  <si>
    <t>Change to Estimated Absolute Emissions Reduction After Control (tpy)</t>
  </si>
  <si>
    <t>* Added reference links on the right side of the table in each options tab</t>
  </si>
  <si>
    <t>* Indicated in the 5 right-most columns of each options tab the values that have changed from the previous version</t>
  </si>
  <si>
    <t>category</t>
  </si>
  <si>
    <t>nonpoint</t>
  </si>
  <si>
    <t>point</t>
  </si>
  <si>
    <t>mobile</t>
  </si>
  <si>
    <t>Control Measure Shortlist sorted by Cost Effectiveness</t>
  </si>
  <si>
    <t>Control Measure Shortlist Sorted by Emission Reductions</t>
  </si>
  <si>
    <t>P - 61</t>
  </si>
  <si>
    <t>Natural Gas Pipelines</t>
  </si>
  <si>
    <t>Transition to zero and near-zero emission technologies for stationary sources</t>
  </si>
  <si>
    <t>Unable to readily determine which coating types would be affected.  Applicable SCCs limited to solvents, adhesives, and lubricants.</t>
  </si>
  <si>
    <t>https://nepis.epa.gov/Exe/ZyNET.exe/2000F9K4.txt?ZyActionD=ZyDocument&amp;Client=EPA&amp;Index=2016%20Thru%202020%7C1991%20Thru%201994%7C2011%20Thru%202015%7C1986%20Thru%201990%7C2006%20Thru%202010%7C1981%20Thru%201985%7C2000%20Thru%202005%7C1976%20Thru%201980%7C1995%20Thru%201999%7CPrior%20to%201976%7CHardcopy%20Publications&amp;Docs=&amp;Query=456k01001&amp;Time=&amp;EndTime=&amp;SearchMethod=2&amp;TocRestrict=n&amp;Toc=&amp;TocEntry=&amp;QField=&amp;QFieldYear=&amp;QFieldMonth=&amp;QFieldDay=&amp;UseQField=&amp;IntQFieldOp=0&amp;ExtQFieldOp=0&amp;XmlQuery=&amp;File=D%3A%5CZYFILES%5CINDEX%20DATA%5C00THRU05%5CTXT%5C00000009%5C2000F9K4.txt&amp;User=ANONYMOUS&amp;Password=anonymous&amp;SortMethod=h%7C-&amp;MaximumDocuments=15&amp;FuzzyDegree=0&amp;ImageQuality=r85g16/r85g16/x150y150g16/i500&amp;Display=hpfr&amp;DefSeekPage=x&amp;SearchBack=ZyActionL&amp;Back=ZyActionS&amp;BackDesc=Results%20page&amp;MaximumPages=1&amp;ZyEntry=1&amp;SeekPage=x</t>
  </si>
  <si>
    <t>Heavy Duty Vehicles</t>
  </si>
  <si>
    <t>Inspection and Maintenance Program (Remote sensing)</t>
  </si>
  <si>
    <t>Dropped From Previous Shortlist</t>
  </si>
  <si>
    <t>Added to Shortlist (not on Previous Shortlist)</t>
  </si>
  <si>
    <t>NP-32</t>
  </si>
  <si>
    <t>Title 35, Part 217, Subpart C: Existing Fuel Combustion Emission Units, Subpart E: Industrial Boilers, Subpart F: Process Heaters, Subpart Q: Stationary ReciprocatingInternal Combustion Engines and Turbines</t>
  </si>
  <si>
    <t>Title 326, Article 10, Nitrogen Oxides Rules</t>
  </si>
  <si>
    <t>Part 8. Emission Limitations and Prohibitions—Oxides of Nitrogen</t>
  </si>
  <si>
    <t>Chapter 7011, Standards for Stationary Sources, Indirect and Direct Heating (7011.0600-7011-.0625, 7011.0500-7011.0550)</t>
  </si>
  <si>
    <t>Chapter 3745-14, NOx Budget Program
Chapter 3745-110, Nitrogen Oxides - Reasonably Available Control Technology</t>
  </si>
  <si>
    <t>Chapter NR 428 Control of Nitrogen Compound Emissions</t>
  </si>
  <si>
    <t>Reference 1</t>
  </si>
  <si>
    <t>Reference 2</t>
  </si>
  <si>
    <t>1.) EPA's Menu of Control Measures for NAAQS Implementation
2.) EPA Clean Air Technology Center (EPA-425/F-03-031)</t>
  </si>
  <si>
    <t>https://www.epa.gov/air-quality-implementation-plans/menu-control-measures-naaqs-implementation</t>
  </si>
  <si>
    <t>https://nepis.epa.gov/Exe/ZyNET.exe/P100RQ6Y.txt?ZyActionD=ZyDocument&amp;Client=EPA&amp;Index=2016%20Thru%202020%7C1991%20Thru%201994%7C2011%20Thru%202015%7C1986%20Thru%201990%7C2006%20Thru%202010%7C1981%20Thru%201985%7C2000%20Thru%202005%7C1976%20Thru%201980%7C1995%20Thru%201999%7CPrior%20to%201976%7CHardcopy%20Publications&amp;Docs=&amp;Query=452f03031&amp;Time=&amp;EndTime=&amp;SearchMethod=2&amp;TocRestrict=n&amp;Toc=&amp;TocEntry=&amp;QField=&amp;QFieldYear=&amp;QFieldMonth=&amp;QFieldDay=&amp;UseQField=&amp;IntQFieldOp=0&amp;ExtQFieldOp=0&amp;XmlQuery=&amp;File=D%3A%5CZYFILES%5CINDEX%20DATA%5C00THRU05%5CTXT%5C00000036%5CP100RQ6Y.txt&amp;User=ANONYMOUS&amp;Password=anonymous&amp;SortMethod=h%7C-&amp;MaximumDocuments=15&amp;FuzzyDegree=0&amp;ImageQuality=r85g16/r85g16/x150y150g16/i500&amp;Display=hpfr&amp;DefSeekPage=x&amp;SearchBack=ZyActionL&amp;Back=ZyActionS&amp;BackDesc=Results%20page&amp;MaximumPages=1&amp;ZyEntry=1&amp;SeekPage=x</t>
  </si>
  <si>
    <t xml:space="preserve">Cost effectiveness is variable and based on plant size: for a 300MW plant, total capital cost of $60.43 per kW; the fixed O&amp;M costs of $0.40 per kW per year; and variable O&amp;M costs of $0.090 mills per kWh.
The scaling factor for plants from 25MW (Capital Cost and Fixed O&amp;M only) = (300/capacity)^(0.359). </t>
  </si>
  <si>
    <t>1.) EPA's Menu of Control Measures for NAAQS Implementation
2.) RACT/BACT/LAER Clearinghouse (RBLC)</t>
  </si>
  <si>
    <t>https://cfpub.epa.gov/rblc/index.cfm?action=Home.Home&amp;lang=en</t>
  </si>
  <si>
    <t xml:space="preserve">Cost effectiveness is variable and based on plant size: for a 300MW plant, total capital cost of $44.58 per kW; the fixed O&amp;M costs of $0.30 per kW per year; and variable O&amp;M costs of $0.070 mills per kWh.  The scaling factor for plants from 25MW (Capital Cost and Fixed O&amp;M only) = (300/capacity)^(0.359). </t>
  </si>
  <si>
    <t>EPA's Menu of Control Measures for NAAQS Implementation</t>
  </si>
  <si>
    <t/>
  </si>
  <si>
    <t>Natural Gas Reburn</t>
  </si>
  <si>
    <t>Cost effectiveness is variable and based on: plant size, the total capital cost of $32.41 per kW, and the fixed O&amp;M of $0.49 per kW per year.</t>
  </si>
  <si>
    <t>P - 5</t>
  </si>
  <si>
    <t>Utility Boiler - Coal/ Tangential</t>
  </si>
  <si>
    <t>Low NOx Coal-and-Air Nozzles with Cross-Coupled and Separated Overfire Air</t>
  </si>
  <si>
    <t xml:space="preserve">Cost effectiveness is variable and based on plant size: for a 300MW plant, total capital cost of $37.64 per kW; the fixed O&amp;M costs of $0.30 per kW per year; and variable O&amp;M costs of $0.030 mills per kWh.
The scaling factor for plants from 25MW (Capital Cost and Fixed O&amp;M only) = (300/capacity)^(0.359). </t>
  </si>
  <si>
    <t>P - 6</t>
  </si>
  <si>
    <t>Low NOx Coal-and-Air Nozzles with Cross-Coupled Overfire Air</t>
  </si>
  <si>
    <t xml:space="preserve">Cost effectiveness is variable and based on plant size: for a 300MW plant, total capital cost of $23.77 per kW; the fixed O&amp;M costs of $0.20 per kW per year; and variable O&amp;M costs of $0.000 mills per kWh.
The scaling factor for plants from 25MW (Capital Cost and Fixed O&amp;M only) = (300/capacity)^(0.359). </t>
  </si>
  <si>
    <t>P - 7</t>
  </si>
  <si>
    <t>Low NOx Coal-and-Air Nozzles with Separated Overfire Air</t>
  </si>
  <si>
    <t xml:space="preserve">Cost effectiveness is variable and based on plant size: for a 300MW plant, total capital cost of $32.69 per kW; the fixed O&amp;M costs of $0.20 per kW per year; and variable O&amp;M costs of $0.030 mills per kWh.
The scaling factor for plants from 25MW (Capital Cost and Fixed O&amp;M only) = (300/capacity)^(0.359). </t>
  </si>
  <si>
    <t>P - 8</t>
  </si>
  <si>
    <t>P - 9</t>
  </si>
  <si>
    <t>1.) EPA's Menu of Control Measures for NAAQS Implementation
2.) EPA Clean Air Technology Center (EPA-425/F-03-032)</t>
  </si>
  <si>
    <t>P - 10</t>
  </si>
  <si>
    <t>- Pulverized: cost effectiveness is variable and based on heat rate: total capital cost of $44.58/kW for 9,000Btu/kWh to $47.55/kW for 11,000Btu/kWh; fixed O&amp;M costs of $0.99 per kW per year (do not depend on heat rate); variable O&amp;M costs of $0.87 mills per kWh for 9,000Btu/kWh to 1.07 mills per kWh for 11,000Btu/kWh.
- Fluidized: cost effectiveness is variable and based on plant size &amp; heat rate: capital cost of $8.92/kW for 1000MW &amp; 9,000Btu/kWh to $35.66/kW for 100MW &amp; 11,000Btu/kWh; fixed O&amp;M costs of $0.99 per kW per year for 1000MW to $0.89per kW per year for 100MW (do not depend on heat rate); variable O&amp;M costs of $0.87 mills per kWh for 9,000Btu/kWh to 1.07 mills per kWh for 11,000Btu/kWh.</t>
  </si>
  <si>
    <t>P - 14</t>
  </si>
  <si>
    <t xml:space="preserve">Utility Boiler - Subbituminous Coal/ Wall Fired  </t>
  </si>
  <si>
    <t xml:space="preserve">Cost effectiveness is variable and based on plant size. For a 300MW plant, total capital cost of $44.58 per kW; fixed O&amp;M costs of $0.30 per kW per year; and variable O&amp;M costs of $0.07 mills per kW per year. Scaling factor for plants from 25MW (Capital Cost and Fixed O&amp;M only) = (300/capacity)^(0.359). </t>
  </si>
  <si>
    <t>EPA Clean Air Technology Center (EPA-456/R-05-001)</t>
  </si>
  <si>
    <t>https://nepis.epa.gov/Exe/ZyNET.exe/P1005HIB.txt?ZyActionD=ZyDocument&amp;Client=EPA&amp;Index=2016%20Thru%202020%7C1991%20Thru%201994%7C2011%20Thru%202015%7C1986%20Thru%201990%7C2006%20Thru%202010%7C1981%20Thru%201985%7C2000%20Thru%202005%7C1976%20Thru%201980%7C1995%20Thru%201999%7CPrior%20to%201976%7CHardcopy%20Publications&amp;Docs=&amp;Query=456r05001&amp;Time=&amp;EndTime=&amp;SearchMethod=2&amp;TocRestrict=n&amp;Toc=&amp;TocEntry=&amp;QField=&amp;QFieldYear=&amp;QFieldMonth=&amp;QFieldDay=&amp;UseQField=&amp;IntQFieldOp=0&amp;ExtQFieldOp=0&amp;XmlQuery=&amp;File=D%3A%5CZYFILES%5CINDEX%20DATA%5C00THRU05%5CTXT%5C00000022%5CP1005HIB.txt&amp;User=ANONYMOUS&amp;Password=anonymous&amp;SortMethod=h%7C-&amp;MaximumDocuments=15&amp;FuzzyDegree=0&amp;ImageQuality=r85g16/r85g16/x150y150g16/i500&amp;Display=hpfr&amp;DefSeekPage=x&amp;SearchBack=ZyActionL&amp;Back=ZyActionS&amp;BackDesc=Results%20page&amp;MaximumPages=1&amp;ZyEntry=1&amp;SeekPage=x</t>
  </si>
  <si>
    <t>P - 16</t>
  </si>
  <si>
    <t>External Combustion Boilers - Natural Gas (Tangential or Non-Tangential Firing)</t>
  </si>
  <si>
    <t>P - 17</t>
  </si>
  <si>
    <t>Natural Gas Fired EGU</t>
  </si>
  <si>
    <t>P - 20</t>
  </si>
  <si>
    <t>Process Control Systems</t>
  </si>
  <si>
    <t>&lt;25%</t>
  </si>
  <si>
    <t>N/A</t>
  </si>
  <si>
    <t>P - 21</t>
  </si>
  <si>
    <t>Cement Manufacturing - Dry Process</t>
  </si>
  <si>
    <t>Selective Non-Catalytic Reduction - Ammonia</t>
  </si>
  <si>
    <t>P - 22</t>
  </si>
  <si>
    <t>Selective Non-Catalytic Reduction - Urea</t>
  </si>
  <si>
    <t>P - 26</t>
  </si>
  <si>
    <t>In-Process - Bituminous Coal - Cement Kilns or Lime Kilns</t>
  </si>
  <si>
    <t>P - 27</t>
  </si>
  <si>
    <t>P - 28</t>
  </si>
  <si>
    <t>P - 29</t>
  </si>
  <si>
    <t>Cement Industry</t>
  </si>
  <si>
    <t>electrification technology not sufficiently demonstrated yet</t>
  </si>
  <si>
    <t>South Coast AQMD 2016 air quality management plan</t>
  </si>
  <si>
    <t xml:space="preserve">https://www.aqmd.gov/home/rules-compliance/rules </t>
  </si>
  <si>
    <t>https://www.nrel.gov/docs/fy18osti/72311.pdf</t>
  </si>
  <si>
    <t>P - 30</t>
  </si>
  <si>
    <t>Iron &amp; Steel - In-Process Combustion -  Bituminous Coal</t>
  </si>
  <si>
    <t>P - 31</t>
  </si>
  <si>
    <t>Iron &amp; Steel - In-Process Combustion - Natural Gas and Process Gas - Coke Oven Gas</t>
  </si>
  <si>
    <t>P - 32</t>
  </si>
  <si>
    <t>P - 33</t>
  </si>
  <si>
    <t>Iron &amp; Steel - In-Process Combustion - Process Gas -Coke Oven/ Blast Furnace</t>
  </si>
  <si>
    <t>Low NOx Burner and Flue Gas Recirculation</t>
  </si>
  <si>
    <t>P - 34</t>
  </si>
  <si>
    <t>Iron &amp; Steel - In-Process Combustion - Residual Oil</t>
  </si>
  <si>
    <t>P - 35</t>
  </si>
  <si>
    <t>Iron &amp; Steel Mills - Annealing</t>
  </si>
  <si>
    <t>P - 36</t>
  </si>
  <si>
    <t>P - 37</t>
  </si>
  <si>
    <t>Low NOx Burner and Selective Catalytic Reduction</t>
  </si>
  <si>
    <t>P - 38</t>
  </si>
  <si>
    <t>Low NOx Burner and Selective Non Catalytic Reduction</t>
  </si>
  <si>
    <t>P - 39</t>
  </si>
  <si>
    <t>P - 40</t>
  </si>
  <si>
    <t>Selective Non Catalytic Reduction</t>
  </si>
  <si>
    <t>P - 41</t>
  </si>
  <si>
    <t>Iron &amp; Steel Mills - Cupola Melt Furnaces</t>
  </si>
  <si>
    <t>P - 42</t>
  </si>
  <si>
    <t>Iron &amp; Steel Mills - Galvanizing</t>
  </si>
  <si>
    <t>P - 43</t>
  </si>
  <si>
    <t>P - 44</t>
  </si>
  <si>
    <t>Low Excess Air</t>
  </si>
  <si>
    <t>Iron Production - Blast Furnace - Blast Heating Stoves</t>
  </si>
  <si>
    <t>P - 48</t>
  </si>
  <si>
    <t>Taconite Iron Ore Processing  - Induration - Coal or Gas</t>
  </si>
  <si>
    <t>P - 49</t>
  </si>
  <si>
    <t>Steel Foundries - Heat Treating Furnaces</t>
  </si>
  <si>
    <t>P - 50</t>
  </si>
  <si>
    <t>Steel Production - Soaking Pits</t>
  </si>
  <si>
    <t>P - 51</t>
  </si>
  <si>
    <t>Iron &amp; Steel Mills/Foundries</t>
  </si>
  <si>
    <t>P - 52</t>
  </si>
  <si>
    <t>P - 53</t>
  </si>
  <si>
    <t>Industrial Natural Gas Internal Combustion Engines - 2cycle (lean)</t>
  </si>
  <si>
    <t>Low Emission Combustion</t>
  </si>
  <si>
    <t>P - 55</t>
  </si>
  <si>
    <t>Low Emissions Combustion (Low Speed)</t>
  </si>
  <si>
    <t>Natural Gas Production - Compressors</t>
  </si>
  <si>
    <t>P - 60</t>
  </si>
  <si>
    <t>% LADCO-wide inventory affected includes natural gas engines and turbines across all industrial segments (does not include EGUs)</t>
  </si>
  <si>
    <t>P - 62</t>
  </si>
  <si>
    <t>Process Heaters - Distillate Oil, Residual Oil, or Other Fuel</t>
  </si>
  <si>
    <t>Low NOx Burner and Selective Noncatalytic Reduction</t>
  </si>
  <si>
    <t>P - 63</t>
  </si>
  <si>
    <t>Process Heaters</t>
  </si>
  <si>
    <t>P - 64</t>
  </si>
  <si>
    <t>Process Heaters - Distillate Oil</t>
  </si>
  <si>
    <t>P - 65</t>
  </si>
  <si>
    <t>P - 66</t>
  </si>
  <si>
    <t>Process Heaters - Distillate Oil or LPG</t>
  </si>
  <si>
    <t>P - 67</t>
  </si>
  <si>
    <t>P - 68</t>
  </si>
  <si>
    <t>P - 69</t>
  </si>
  <si>
    <t>P - 70</t>
  </si>
  <si>
    <t>Ultra-Low NOx Burner</t>
  </si>
  <si>
    <t>P - 71</t>
  </si>
  <si>
    <t>Process Heaters - LPG</t>
  </si>
  <si>
    <t>P - 72</t>
  </si>
  <si>
    <t>P - 73</t>
  </si>
  <si>
    <t>P - 74</t>
  </si>
  <si>
    <t>Process Heaters - Natural Gas</t>
  </si>
  <si>
    <t>P - 75</t>
  </si>
  <si>
    <t>Process Heaters - Natural Gas or Process Gas</t>
  </si>
  <si>
    <t>P - 76</t>
  </si>
  <si>
    <t>P - 77</t>
  </si>
  <si>
    <t>P - 78</t>
  </si>
  <si>
    <t>P - 79</t>
  </si>
  <si>
    <t>P - 80</t>
  </si>
  <si>
    <t>Process Heaters - Natural Gas, Process Gas or LPG</t>
  </si>
  <si>
    <t>P - 81</t>
  </si>
  <si>
    <t>Process Heaters - Other Fuel</t>
  </si>
  <si>
    <t>P - 82</t>
  </si>
  <si>
    <t>Process Heaters - Process Gas</t>
  </si>
  <si>
    <t>P - 83</t>
  </si>
  <si>
    <t>Process Heaters - Process Gas or Natural Gas or LPG</t>
  </si>
  <si>
    <t xml:space="preserve">1.) EPA's Menu of Control Measures for NAAQS Implementation
2.) EPA Clean Air Technology Center (EPA-425/F-03-032)
</t>
  </si>
  <si>
    <t>P - 84</t>
  </si>
  <si>
    <t>Process Heaters - Residual Oil</t>
  </si>
  <si>
    <t>P - 85</t>
  </si>
  <si>
    <t>Process Heaters - Residual Oil or Other Fuel</t>
  </si>
  <si>
    <t>P - 86</t>
  </si>
  <si>
    <t>P - 87</t>
  </si>
  <si>
    <t>P - 88</t>
  </si>
  <si>
    <t>P - 89</t>
  </si>
  <si>
    <t>P - 90</t>
  </si>
  <si>
    <t>Petroleum Refineries</t>
  </si>
  <si>
    <t>P - 91</t>
  </si>
  <si>
    <t>Transition to Zero and Near-Zero Emission Technologies for Stationary Sources</t>
  </si>
  <si>
    <t>P - 92</t>
  </si>
  <si>
    <t>P - 93</t>
  </si>
  <si>
    <t>Petroleum Flare</t>
  </si>
  <si>
    <t>Flare</t>
  </si>
  <si>
    <t>P - 94</t>
  </si>
  <si>
    <t>Petroleum Wastewater</t>
  </si>
  <si>
    <t>Wastewater</t>
  </si>
  <si>
    <t>P - 95</t>
  </si>
  <si>
    <t>Thermal Incineration</t>
  </si>
  <si>
    <t>EPA Clean Air Technology Center (EPA-452/F-03-022)</t>
  </si>
  <si>
    <t>https://nepis.epa.gov/Exe/ZyNET.exe/P100RQ6F.txt?ZyActionD=ZyDocument&amp;Client=EPA&amp;Index=2016%20Thru%202020%7C1991%20Thru%201994%7C2011%20Thru%202015%7C1986%20Thru%201990%7C2006%20Thru%202010%7C1981%20Thru%201985%7C2000%20Thru%202005%7C1976%20Thru%201980%7C1995%20Thru%201999%7CPrior%20to%201976%7CHardcopy%20Publications&amp;Docs=&amp;Query=452f03022&amp;Time=&amp;EndTime=&amp;SearchMethod=2&amp;TocRestrict=n&amp;Toc=&amp;TocEntry=&amp;QField=&amp;QFieldYear=&amp;QFieldMonth=&amp;QFieldDay=&amp;UseQField=&amp;IntQFieldOp=0&amp;ExtQFieldOp=0&amp;XmlQuery=&amp;File=D%3A%5CZYFILES%5CINDEX%20DATA%5C00THRU05%5CTXT%5C00000036%5CP100RQ6F.txt&amp;User=ANONYMOUS&amp;Password=anonymous&amp;SortMethod=h%7C-&amp;MaximumDocuments=15&amp;FuzzyDegree=0&amp;ImageQuality=r85g16/r85g16/x150y150g16/i500&amp;Display=hpfr&amp;DefSeekPage=x&amp;SearchBack=ZyActionL&amp;Back=ZyActionS&amp;BackDesc=Results%20page&amp;MaximumPages=1&amp;ZyEntry=1&amp;SeekPage=x</t>
  </si>
  <si>
    <t>P - 96</t>
  </si>
  <si>
    <t>Catalytic Incineration/Catalytic oxidation</t>
  </si>
  <si>
    <t>EPA Clean Air Technology Center (EPA-452/F-03-018)</t>
  </si>
  <si>
    <t>https://nepis.epa.gov/Exe/ZyNET.exe/P1008OGZ.txt?ZyActionD=ZyDocument&amp;Client=EPA&amp;Index=2016%20Thru%202020%7C1991%20Thru%201994%7C2011%20Thru%202015%7C1986%20Thru%201990%7C2006%20Thru%202010%7C1981%20Thru%201985%7C2000%20Thru%202005%7C1976%20Thru%201980%7C1995%20Thru%201999%7CPrior%20to%201976%7CHardcopy%20Publications&amp;Docs=&amp;Query=452F03018&amp;Time=&amp;EndTime=&amp;SearchMethod=2&amp;TocRestrict=n&amp;Toc=&amp;TocEntry=&amp;QField=&amp;QFieldYear=&amp;QFieldMonth=&amp;QFieldDay=&amp;UseQField=&amp;IntQFieldOp=0&amp;ExtQFieldOp=0&amp;XmlQuery=&amp;File=D%3A%5CZYFILES%5CINDEX%20DATA%5C00THRU05%5CTXT%5C00000025%5CP1008OGZ.txt&amp;User=ANONYMOUS&amp;Password=anonymous&amp;SortMethod=h%7C-&amp;MaximumDocuments=15&amp;FuzzyDegree=0&amp;ImageQuality=r85g16/r85g16/x150y150g16/i500&amp;Display=hpfr&amp;DefSeekPage=x&amp;SearchBack=ZyActionL&amp;Back=ZyActionS&amp;BackDesc=Results%20page&amp;MaximumPages=1&amp;ZyEntry=1&amp;SeekPage=x</t>
  </si>
  <si>
    <t>P - 97</t>
  </si>
  <si>
    <t>Incineration - Recuperative Type</t>
  </si>
  <si>
    <t>EPA Clean Air Technology Center (EPA-452/F-03-020)</t>
  </si>
  <si>
    <t>https://nepis.epa.gov/Exe/ZyPDF.cgi?Dockey=P100RQ69.PDF</t>
  </si>
  <si>
    <t>P - 98</t>
  </si>
  <si>
    <t>Incineration - Regenerative Type</t>
  </si>
  <si>
    <t>EPA Clean Air Technology Center (EPA-452/F-03-021)</t>
  </si>
  <si>
    <t>https://nepis.epa.gov/Exe/ZyNET.exe/P1008OH5.txt?ZyActionD=ZyDocument&amp;Client=EPA&amp;Index=2016%20Thru%202020%7C1991%20Thru%201994%7C2011%20Thru%202015%7C1986%20Thru%201990%7C2006%20Thru%202010%7C1981%20Thru%201985%7C2000%20Thru%202005%7C1976%20Thru%201980%7C1995%20Thru%201999%7CPrior%20to%201976%7CHardcopy%20Publications&amp;Docs=&amp;Query=452F03021&amp;Time=&amp;EndTime=&amp;SearchMethod=2&amp;TocRestrict=n&amp;Toc=&amp;TocEntry=&amp;QField=&amp;QFieldYear=&amp;QFieldMonth=&amp;QFieldDay=&amp;UseQField=&amp;IntQFieldOp=0&amp;ExtQFieldOp=0&amp;XmlQuery=&amp;File=D%3A%5CZYFILES%5CINDEX%20DATA%5C00THRU05%5CTXT%5C00000025%5CP1008OH5.txt&amp;User=ANONYMOUS&amp;Password=anonymous&amp;SortMethod=h%7C-&amp;MaximumDocuments=15&amp;FuzzyDegree=0&amp;ImageQuality=r85g16/r85g16/x150y150g16/i500&amp;Display=hpfr&amp;DefSeekPage=x&amp;SearchBack=ZyActionL&amp;Back=ZyActionS&amp;BackDesc=Results%20page&amp;MaximumPages=1&amp;ZyEntry=1&amp;SeekPage=x</t>
  </si>
  <si>
    <t>EPA Clean Air Technology Center (EPA-452/F-03-011)</t>
  </si>
  <si>
    <t>EPA Clean Air Technology Center (EPA-452/F-03-016)</t>
  </si>
  <si>
    <t>https://nepis.epa.gov/Exe/ZyNET.exe/P1008OGT.txt?ZyActionD=ZyDocument&amp;Client=EPA&amp;Index=2016%20Thru%202020%7C1991%20Thru%201994%7C2011%20Thru%202015%7C1986%20Thru%201990%7C2006%20Thru%202010%7C1981%20Thru%201985%7C2000%20Thru%202005%7C1976%20Thru%201980%7C1995%20Thru%201999%7CPrior%20to%201976%7CHardcopy%20Publications&amp;Docs=&amp;Query=452f03016&amp;Time=&amp;EndTime=&amp;SearchMethod=2&amp;TocRestrict=n&amp;Toc=&amp;TocEntry=&amp;QField=&amp;QFieldYear=&amp;QFieldMonth=&amp;QFieldDay=&amp;UseQField=&amp;IntQFieldOp=0&amp;ExtQFieldOp=0&amp;XmlQuery=&amp;File=D%3A%5CZYFILES%5CINDEX%20DATA%5C00THRU05%5CTXT%5C00000025%5CP1008OGT.txt&amp;User=ANONYMOUS&amp;Password=anonymous&amp;SortMethod=h%7C-&amp;MaximumDocuments=15&amp;FuzzyDegree=0&amp;ImageQuality=r85g16/r85g16/x150y150g16/i500&amp;Display=hpfr&amp;DefSeekPage=x&amp;SearchBack=ZyActionL&amp;Back=ZyActionS&amp;BackDesc=Results%20page&amp;MaximumPages=1&amp;ZyEntry=1&amp;SeekPage=x</t>
  </si>
  <si>
    <t>EPA Clean Air Technology Center (EPA-452/F-03-015)</t>
  </si>
  <si>
    <t>https://nepis.epa.gov/Exe/ZyNET.exe/P1008OGN.txt?ZyActionD=ZyDocument&amp;Client=EPA&amp;Index=2016%20Thru%202020%7C1991%20Thru%201994%7C2011%20Thru%202015%7C1986%20Thru%201990%7C2006%20Thru%202010%7C1981%20Thru%201985%7C2000%20Thru%202005%7C1976%20Thru%201980%7C1995%20Thru%201999%7CPrior%20to%201976%7CHardcopy%20Publications&amp;Docs=&amp;Query=452f03015&amp;Time=&amp;EndTime=&amp;SearchMethod=2&amp;TocRestrict=n&amp;Toc=&amp;TocEntry=&amp;QField=&amp;QFieldYear=&amp;QFieldMonth=&amp;QFieldDay=&amp;UseQField=&amp;IntQFieldOp=0&amp;ExtQFieldOp=0&amp;XmlQuery=&amp;File=D%3A%5CZYFILES%5CINDEX%20DATA%5C00THRU05%5CTXT%5C00000025%5CP1008OGN.txt&amp;User=ANONYMOUS&amp;Password=anonymous&amp;SortMethod=h%7C-&amp;MaximumDocuments=15&amp;FuzzyDegree=0&amp;ImageQuality=r85g16/r85g16/x150y150g16/i500&amp;Display=hpfr&amp;DefSeekPage=x&amp;SearchBack=ZyActionL&amp;Back=ZyActionS&amp;BackDesc=Results%20page&amp;MaximumPages=1&amp;ZyEntry=1&amp;SeekPage=x</t>
  </si>
  <si>
    <t>P - 102</t>
  </si>
  <si>
    <t>Petroleum Refinery - VOC Emissions from Vent Streams</t>
  </si>
  <si>
    <t>VOC Vent Streams Routed to Combustion Device</t>
  </si>
  <si>
    <t>RACT/BACT/LAER Clearinghouse (RBLC)</t>
  </si>
  <si>
    <t>https://cfpub.epa.gov/RBLC/index.cfm?action=Home.Home&amp;lang=en</t>
  </si>
  <si>
    <t>P - 103</t>
  </si>
  <si>
    <t>Petroleum Refinery - VOC Emissions from component leaks</t>
  </si>
  <si>
    <t>Leak Detection and Repair Program (LDAR)</t>
  </si>
  <si>
    <t>P - 104</t>
  </si>
  <si>
    <t>Improved Leak Detection and Repair Program (LDAR)</t>
  </si>
  <si>
    <t>P - 105</t>
  </si>
  <si>
    <t>Petroleum Refineries - VOC Emissions from Tanks</t>
  </si>
  <si>
    <t>Use of Welded Deck Construction and a Seal Configuration That Includes a Mechanical Hose Primary Seal and a Rim Mounted Secondary Seal</t>
  </si>
  <si>
    <t>P - 106</t>
  </si>
  <si>
    <t>Submerge Fill Piping or Bottom Fill Piping and Tank Painted White</t>
  </si>
  <si>
    <t>P - 107</t>
  </si>
  <si>
    <t xml:space="preserve">Refinery Process </t>
  </si>
  <si>
    <t>Refinery Process Turnaround Operation Restrictions</t>
  </si>
  <si>
    <t>South Coast Air Quality Management District Rules</t>
  </si>
  <si>
    <t xml:space="preserve">http://www.aqmd.gov/docs/default-source/rule-book/reg-xi/rule-1123.pdf?sfvrsn=4 </t>
  </si>
  <si>
    <t>P - 108</t>
  </si>
  <si>
    <t>Non-Refinery Flares</t>
  </si>
  <si>
    <t>BACT Flares</t>
  </si>
  <si>
    <t xml:space="preserve">http://www.aqmd.gov/docs/default-source/clean-air-plans/air-quality-management-plans/2016-air-quality-management-plan/control-strategies/1_stationarysourcemeasures_040816.pdf?sfvrsn=4 </t>
  </si>
  <si>
    <t>P - 109</t>
  </si>
  <si>
    <t>Soybean and Oilseed Processing</t>
  </si>
  <si>
    <t>Good Solvent Recovery Practices - Solvent Loss Factor &lt; 0.25 gal/ton canola oilseed processed on a 12-month rolling sum.</t>
  </si>
  <si>
    <t>P - 110</t>
  </si>
  <si>
    <t>Leak Detection and Repair Program</t>
  </si>
  <si>
    <t>P - 111</t>
  </si>
  <si>
    <t>Improved Leak Detection and Repair Program</t>
  </si>
  <si>
    <t>P - 112</t>
  </si>
  <si>
    <t>Measure expected to have limited effectiveness reducing VOC emissions from soybean and oilseed processing</t>
  </si>
  <si>
    <t>P-113</t>
  </si>
  <si>
    <t>EGUs</t>
  </si>
  <si>
    <t>Use of AVERT for Energy Efficiency and Renewable Energy (EE/RE) Programs</t>
  </si>
  <si>
    <t>EPA (AVERT Overview)</t>
  </si>
  <si>
    <t>https://www.epa.gov/statelocalenergy/avoided-emissions-and-generation-tool-avert</t>
  </si>
  <si>
    <t>Title 35, Part 225, Subpart B, Multi-pollutant Standard and Combined Pollutant Standard
Title 35, Part 217, Subpart M: Electrical Generating Units, Subpart U: NOx Control and Trading Program forspecified NOx Generating Units, 
Subpart V: Electric Power Generation, Subpart W: NOx Trading Program forElectrical Generating Units</t>
  </si>
  <si>
    <t>Chapter 3745-110, Nitrogen Oxides - Reasonably Available Control Technology</t>
  </si>
  <si>
    <t>Chapter NR 428 Control of Nitrogen Compound Emissions
Chapter NR 433 Protection of Visibility by Application of Best Available Retrofit Technology</t>
  </si>
  <si>
    <t>Title 35, Part 217, Subparts H and T: Cement Kilns</t>
  </si>
  <si>
    <t>Part 8. Emission Limitations and Prohibitions—Oxides of Nitrogen (336.1817)</t>
  </si>
  <si>
    <t xml:space="preserve"> Rule 3745-14-11, Portland Cement Klins</t>
  </si>
  <si>
    <t>Chapter NR 428 - Control of Nitrogen Compound Emissions</t>
  </si>
  <si>
    <t>Title 326, Article 10, Nitrogen Oxides RulesTitle 326, Article 4-3 (Outdoor Hydronic Heaters)</t>
  </si>
  <si>
    <t>Chapter 7011, Standards for Stationary Sources</t>
  </si>
  <si>
    <t>Chapter 3745-14, NOx Budget ProgramChapter 3745-110, Nitrogen Oxides - Reasonably Available Control Technology</t>
  </si>
  <si>
    <t xml:space="preserve">Title 35, Parts 218 and 219, Subpart B: Organic Emissions from Storage and Loading Operations and Subpart R: Petroleum Refining and Related Industries; Asphalt Materials , </t>
  </si>
  <si>
    <t>Title 326, Article 8-4 (Petroleum Sources)</t>
  </si>
  <si>
    <t>Part 6 and 7. Emission Limitation and Prohibitions – Existing and New Sources of Volatile Organic Compounds Emissions (336.1608, 336.1609, 336.1615-336.1617, 336.1622, 336.1705, 336.1706)</t>
  </si>
  <si>
    <t xml:space="preserve"> </t>
  </si>
  <si>
    <t>Chapter 3745-21, Carbon Monoxide, Photochemically Reactive Materials, Hydrocarbons, and Related Materials Standards</t>
  </si>
  <si>
    <t>Chapter NR 420 Control of Organic Compound Emissions from Petroleum And Gasoline Sources</t>
  </si>
  <si>
    <t>Control Efficiency (% reduction) [1]</t>
  </si>
  <si>
    <t>Cost Effectiveness ($/ton) [1]</t>
  </si>
  <si>
    <t>% LADCO-wide emissions subject to measure [2]</t>
  </si>
  <si>
    <t>Estimated Absolute Emissions Reduction After Control (tpy)</t>
  </si>
  <si>
    <t>Reference 3</t>
  </si>
  <si>
    <t>Reference 4</t>
  </si>
  <si>
    <t>Reference 5</t>
  </si>
  <si>
    <t>G-1</t>
  </si>
  <si>
    <t>Several Mobile (Passenger Vehicles, Lawn and Garden)</t>
  </si>
  <si>
    <t xml:space="preserve">Ozone Action Days - Education and Promotion Campaigns </t>
  </si>
  <si>
    <t>Low cost</t>
  </si>
  <si>
    <t>EPA Menu of Control Measures</t>
  </si>
  <si>
    <t xml:space="preserve">https://www.epa.gov/air-quality-implementation-plans/menu-control-measures-naaqs-implementation </t>
  </si>
  <si>
    <t>$3,613/ton NOx</t>
  </si>
  <si>
    <t>O-2</t>
  </si>
  <si>
    <t>Low RVP Gasoline</t>
  </si>
  <si>
    <t>$5,700/ton VOC</t>
  </si>
  <si>
    <t>O-4</t>
  </si>
  <si>
    <t>Light Duty and Medium Duty Gasoline and Diesel Vehicles (&lt;8,500 lbs)</t>
  </si>
  <si>
    <t xml:space="preserve">Accelerated Retirement of Older Light Duty and Medium Duty Vehicles </t>
  </si>
  <si>
    <t>$17,000-340,000/ton NOx</t>
  </si>
  <si>
    <t>% Reduction varies widely by program</t>
  </si>
  <si>
    <t>South Coast Air Quality Management District (SCAQMD) 2016 AQMP, Evaluation of Mobile Source Control Strategies for the Houston-Galveston-Brazoria State Implementation Plan</t>
  </si>
  <si>
    <t xml:space="preserve">http://www.aqmd.gov/docs/default-source/clean-air-plans/air-quality-management-plans/2016-air-quality-management-plan/control-strategies/mobilesourcemeasures041416.pdf </t>
  </si>
  <si>
    <t>https://www.aqmd.gov/docs/default-source/clean-air-plans/air-quality-management-plans/2016-air-quality-management-plan/final-2016-aqmp/chapter4.pdf?sfvrsn=4</t>
  </si>
  <si>
    <t>http://www.tceq.texas.gov/assets/public/implementation/air/sip/hgb/hgb_sip_2009/09017SIP_ado_Appendix_F.pdf</t>
  </si>
  <si>
    <t>C-E only available for NOX</t>
  </si>
  <si>
    <t>South Coast Air Quality Management District (SCAQMD) 2016 AQMP Evaluation of Mobile Source Control Strategies for the Houston-Galveston-Brazoria State Implementation Plan</t>
  </si>
  <si>
    <t>$26,287-46,062/ton NOx+VOC</t>
  </si>
  <si>
    <t>https://www.swenergy.org/data/sites/1/media/documents/publications/documents/2017_EV_Emissions_Update_Wasatch_Front_Jan-2017.pdf</t>
  </si>
  <si>
    <t>O-7</t>
  </si>
  <si>
    <t>Passenger Vehicles</t>
  </si>
  <si>
    <t>Travel Efficiency Strategies</t>
  </si>
  <si>
    <t>CARB HD I/M Program In-Development</t>
  </si>
  <si>
    <t>ARB Heavy-Duty Inspection and Maintenance Program</t>
  </si>
  <si>
    <t>https://ww2.arb.ca.gov/our-work/programs/heavy-duty-inspection-and-maintenance-program/about</t>
  </si>
  <si>
    <t>https://theicct.org/sites/default/files/publications/HDV%20insp-maint%20White%20Paper%20v2.pdf</t>
  </si>
  <si>
    <t>O-9</t>
  </si>
  <si>
    <t>Light Duty Vehicles</t>
  </si>
  <si>
    <t>Commuter Programs</t>
  </si>
  <si>
    <t>NOx, VOC</t>
  </si>
  <si>
    <t>See measures O-33, O-37, O-38, O-39</t>
  </si>
  <si>
    <t>EPA’s Transportation Initiatives Documents</t>
  </si>
  <si>
    <t xml:space="preserve">https://nepis.epa.gov/Exe/ZyPDF.cgi/P100HP2E.PDF?Dockey=P100HP2E.PDF </t>
  </si>
  <si>
    <t>ARB California heavy-duty trucks low-NOx standards</t>
  </si>
  <si>
    <t xml:space="preserve">https://ww3.arb.ca.gov/msprog/onroad/optionnox/optional_low_nox_certified_hd_engines.pdf </t>
  </si>
  <si>
    <t>$3,822/ ton NOx</t>
  </si>
  <si>
    <t>ARB Truck and Bus Regulation Amendments Background Materials on Air Emissions, Health Impacts, and Economic Impacts</t>
  </si>
  <si>
    <t>https://ww3.arb.ca.gov/msprog/onrdiesel/background/2014/materials.htm</t>
  </si>
  <si>
    <t>$50,000/ton NOx</t>
  </si>
  <si>
    <t>Texas TxLED diesel program</t>
  </si>
  <si>
    <t xml:space="preserve">https://www.tceq.texas.gov/airquality/mobilesource/txled/cleandiesel.html </t>
  </si>
  <si>
    <t>https://www.tceq.texas.gov/assets/public/implementation/air/sip/texled/TxLED_Unified_Model_.xlsx</t>
  </si>
  <si>
    <t>O-13</t>
  </si>
  <si>
    <t>Alternative Fuel Programs (e.g., biodiesel, CNG, LPG, and E85)</t>
  </si>
  <si>
    <t>O-14</t>
  </si>
  <si>
    <t>Heavy Duty Diesel Vehicles (Class 6 and above)</t>
  </si>
  <si>
    <t>Diesel Retrofit (Emissions Control Systems[3])</t>
  </si>
  <si>
    <t>$25,627/ ton NOx</t>
  </si>
  <si>
    <t>Heavy Duty Diesel Vehicles (Class 8)</t>
  </si>
  <si>
    <t>Eliminate Long Duration Idling</t>
  </si>
  <si>
    <t>$15,751/ ton NOx</t>
  </si>
  <si>
    <t>$80,506 /ton NOx</t>
  </si>
  <si>
    <t>Cost effectiveness based on diesel hybrid replacement projects from Texas Clean Fleet Program (TCFP)</t>
  </si>
  <si>
    <t>SCAQMD 2016 AQMP</t>
  </si>
  <si>
    <t>https://www.sciencedirect.com/science/article/pii/S2405896317318153</t>
  </si>
  <si>
    <t>$17,000/ ton NOx</t>
  </si>
  <si>
    <t>EPA’s Smart Way Retrofit Technologies Evaluation of Mobile Source Control Strategies for the Houston-Galveston-Brazoria State Implementation Plan</t>
  </si>
  <si>
    <t xml:space="preserve">https://www.epa.gov/verified-diesel-tech/smartway-designated-tractors-and-trailers </t>
  </si>
  <si>
    <t>http://citeseerx.ist.psu.edu/viewdoc/download?doi=10.1.1.401.6751&amp;rep=rep1&amp;type=pdf</t>
  </si>
  <si>
    <t>https://www.epa.gov/verified-diesel-tech/learn-about-smartway-verified-aerodynamic-devices</t>
  </si>
  <si>
    <t>O-18</t>
  </si>
  <si>
    <t>Diesel Vehicles - Long-Haul class 8 tractor trailers</t>
  </si>
  <si>
    <t>Low Rolling Resistance Tires and Retread Tire Technologies</t>
  </si>
  <si>
    <t xml:space="preserve">https://www.epa.gov/verified-diesel-tech/low-rolling-resistance-lrr-new-and-retread-tires </t>
  </si>
  <si>
    <t>https://www.epa.gov/verified-diesel-tech/learn-about-low-rolling-resistance-lrr-new-and-retread-tire-technologies</t>
  </si>
  <si>
    <t>O-20, O-21</t>
  </si>
  <si>
    <t>Diesel Vehicles - School Buses</t>
  </si>
  <si>
    <t xml:space="preserve">Idling Reduction Technologies </t>
  </si>
  <si>
    <t>EPA’s Smart Way Retrofit Technologies</t>
  </si>
  <si>
    <t xml:space="preserve">https://www.epa.gov/dera/reducing-diesel-emissions-school-buses </t>
  </si>
  <si>
    <t xml:space="preserve">https://www.epa.gov/verified-diesel-tech/idling-reduction-technologies-irts-trucks-and-school-buses </t>
  </si>
  <si>
    <t>O-22, O-26</t>
  </si>
  <si>
    <t>Port Drayage Trucks</t>
  </si>
  <si>
    <t>Accelerated Fleet Turnover and Retrofit Requirements</t>
  </si>
  <si>
    <t>ARB Drayage Truck Regulation</t>
  </si>
  <si>
    <t>https://ww2.arb.ca.gov/sites/default/files/classic/msprog/onroad/porttruck/finalregdrayage.pdf?_ga=2.191329834.1670943297.1594664178-1026231663.1593538356</t>
  </si>
  <si>
    <t>https://ww2.arb.ca.gov/sites/default/files/classic//msprog/onroad/porttruck/finalregdrayage.pdf?_ga=2.191329834.1670943297.1594664178-1026231663.1593538356</t>
  </si>
  <si>
    <t xml:space="preserve">https://www.epa.gov/ports-initiative/drayage-truckers-best-practices </t>
  </si>
  <si>
    <t>O-23</t>
  </si>
  <si>
    <t>Expansion of Off-Peak Operation Hours</t>
  </si>
  <si>
    <t>EPA Port Initiatives</t>
  </si>
  <si>
    <t xml:space="preserve">https://www.epa.gov/ports-initiative/best-practices-port-operations </t>
  </si>
  <si>
    <t>https://www.epa.gov/ports-initiative/port-authority-best-practices</t>
  </si>
  <si>
    <t>O-24</t>
  </si>
  <si>
    <t>Using Rail or Barge instead of Trucking</t>
  </si>
  <si>
    <t>O-25</t>
  </si>
  <si>
    <t>Zero Emissions Fleet</t>
  </si>
  <si>
    <t>San Pedro Bay Ports Clean Action Air Plan</t>
  </si>
  <si>
    <t xml:space="preserve">https://cleanairactionplan.org/documents/economic-study-for-clean-truck-fund-rate.pdf/ </t>
  </si>
  <si>
    <t>O-27</t>
  </si>
  <si>
    <t>Alternative Fuel or Less-Polluting Sweepers Requirements</t>
  </si>
  <si>
    <t>$20,000 NOx+PM combined</t>
  </si>
  <si>
    <t>C-E only available for combination of pollutants</t>
  </si>
  <si>
    <t xml:space="preserve">SCAQMD Final Staff Report Proposed Rule 1186.1 – Less-Polluting Sweepers </t>
  </si>
  <si>
    <t>http://www.aqmd.gov/docs/default-source/rule-book/support-documents/rule-1186_1/staff-report-rule-1186-1.pdf?sfvrsn=2</t>
  </si>
  <si>
    <t>C-E only available for NOx+PM</t>
  </si>
  <si>
    <t>O-28</t>
  </si>
  <si>
    <t>Public Fleet Light Duty and Medium Duty Vehicles</t>
  </si>
  <si>
    <t>Alternative Fuel or Low-Emitting Gasoline Public Fleet Requirements</t>
  </si>
  <si>
    <t>$133,900 per ton NOx+VOC+CO combined over first three compliance year</t>
  </si>
  <si>
    <t>% Reduction varies widely by fleet. C-E only available for combination of pollutants . Takes into account only 10% of SCC emissions to reflect only public sector fleet</t>
  </si>
  <si>
    <t xml:space="preserve">SCAQMD  Staff Report Proposed Rule 1191 − Clean On-Road Lightand Medium-Duty Public Fleet Vehicles </t>
  </si>
  <si>
    <t>http://www.aqmd.gov/docs/default-source/rule-book/support-documents/rule-1191/staff-report-1191.pdf?sfvrsn=2</t>
  </si>
  <si>
    <t>O-29</t>
  </si>
  <si>
    <t>Public Transit Buses</t>
  </si>
  <si>
    <t>Alternative Fuel Public Transit Fleet Requirements</t>
  </si>
  <si>
    <t>$15,000 NOx+PM combined</t>
  </si>
  <si>
    <t>% Reduction varies widely by fleet. C-E only available for combination of pollutants: assumed to be CNG or electric vehicles limiting general use.</t>
  </si>
  <si>
    <t xml:space="preserve">SCAQMD Staff Report Proposed Rule 1192 − Clean On-Road Transit Buses </t>
  </si>
  <si>
    <t>http://www.aqmd.gov/docs/default-source/rule-book/support-documents/rule-1192/staff-report-1192.pdf?sfvrsn=2</t>
  </si>
  <si>
    <t>O-30</t>
  </si>
  <si>
    <t xml:space="preserve">Refuse Collection Heavy Duty Vehicles </t>
  </si>
  <si>
    <t>Alternative Fuel Residential and Commercial Refuse Collection Vehicle Fleet Requirements</t>
  </si>
  <si>
    <t>$25,000 tons NOx+VOC combined</t>
  </si>
  <si>
    <t>% Reduction varies widely by fleet. C-E only available for combination of pollutants; assumed to be either CNG or electric vehicles limiting general use.</t>
  </si>
  <si>
    <t>SCAQMD Staff Report Proposed Rule 1193 − Clean On-Road Residential and Commercial  Refuse Vehicles</t>
  </si>
  <si>
    <t>http://www.aqmd.gov/docs/default-source/rule-book/support-documents/rule-1193/staff-report-1193.pdf?sfvrsn=2</t>
  </si>
  <si>
    <t>$2,690 combined NOx+VOC+PM+CO</t>
  </si>
  <si>
    <t>% Reduction varies widely by fleet. C-E only available for combination of pollutants, no readily source of infromation to estimate emissions from applicable sources</t>
  </si>
  <si>
    <t>SCAQMD Staff Report Proposed Rule 1194 − Commercial Airport Ground Access</t>
  </si>
  <si>
    <t>http://www.aqmd.gov/docs/default-source/rule-book/support-documents/rule-1194/staff-report-1194.pdf?sfvrsn=2</t>
  </si>
  <si>
    <t>O-32</t>
  </si>
  <si>
    <t>Public Fleet Heavy Duty Vehicles</t>
  </si>
  <si>
    <t>Alternative Fuel Public Fleet Requirements</t>
  </si>
  <si>
    <t>$31,760 combined NOx+PM</t>
  </si>
  <si>
    <t xml:space="preserve">SCAQMD Staff Report Proposed Rule 1196 − Clean On-Road Heavy-Duty
Public Fleet Vehicles </t>
  </si>
  <si>
    <t>http://www.aqmd.gov/docs/default-source/Regulations/Fleet-Rules/rule-1196-staff-report.pdf?sfvrsn=2</t>
  </si>
  <si>
    <t>$4,500/ ton NOx</t>
  </si>
  <si>
    <t>N-2, N-15</t>
  </si>
  <si>
    <t>Retrofits</t>
  </si>
  <si>
    <t xml:space="preserve">https://nepis.epa.gov/Exe/ZyPDF.cgi?Dockey=P1009QEO.pdf </t>
  </si>
  <si>
    <t xml:space="preserve"> https://www.epa.gov/verified-diesel-tech/verified-technologies-list-clean-diesel</t>
  </si>
  <si>
    <t>N-3</t>
  </si>
  <si>
    <t>Tier II Engine Replacement to Tier III or IV</t>
  </si>
  <si>
    <t>$43,493/ton NOx</t>
  </si>
  <si>
    <t>South Coast Air Quality Management District Rules Compliance, Final Report Potential Emission Control Strategies Available for Evaluation by the City of San Antonio</t>
  </si>
  <si>
    <t>http://www.aqmd.gov/home/rules-compliance/ceqa/air-quality-analysis-handbook/mitigation-measures-and-control-efficiencies/off-road-engines</t>
  </si>
  <si>
    <t>http://www.aqmd.gov/docs/default-source/ceqa/handbook/mitigation-measures-and-control-efficiencies/off-road-engines/repowered-engines/off-road-engines-table-ii.xls?sfvrsn=2</t>
  </si>
  <si>
    <t>https://www.sanantonio.gov/Portals/0/Files/Sustainability/Environ%20Report.pdf</t>
  </si>
  <si>
    <t>N-4</t>
  </si>
  <si>
    <t xml:space="preserve">Small Off-Road Engines (Sore) </t>
  </si>
  <si>
    <t xml:space="preserve">Exchange Existing In-Use Sore for Electrical Equipment, or New Low-Emitting Engines </t>
  </si>
  <si>
    <t>$16000/ton NOx+VOC</t>
  </si>
  <si>
    <t>SCAQMD 2016 AQMP, Final Report Potential Emission Control Strategies Available for Evaluation by the City of San Antonio</t>
  </si>
  <si>
    <t>N-5</t>
  </si>
  <si>
    <t>Nonroad Gasoline Vehicles</t>
  </si>
  <si>
    <t>$5,700/ ton VOC</t>
  </si>
  <si>
    <t>N-6</t>
  </si>
  <si>
    <t>Nonroad Diesel Vehicles - Agriculture</t>
  </si>
  <si>
    <t>Autonomous Vehicles Fleet and Smart Farming Technology</t>
  </si>
  <si>
    <t>EPA’s Diesel Emissions from Construction and Agriculture Reduction Policy</t>
  </si>
  <si>
    <t xml:space="preserve">https://www.epa.gov/dera/reducing-diesel-emissions-construction-and-agriculture </t>
  </si>
  <si>
    <t>N-7</t>
  </si>
  <si>
    <t>Implementing Multi-Tillage Tools</t>
  </si>
  <si>
    <t>N-8</t>
  </si>
  <si>
    <t>Nonroad Diesel Vehicles - Construction and Agriculture</t>
  </si>
  <si>
    <t>Alternative Fuels - Biodiesel</t>
  </si>
  <si>
    <t>N-9</t>
  </si>
  <si>
    <t>Contractual Agreements (writing air quality requirements into public contracts)</t>
  </si>
  <si>
    <t>N-10</t>
  </si>
  <si>
    <t>Electrification</t>
  </si>
  <si>
    <t>N-11</t>
  </si>
  <si>
    <t>Engine Preventive Maintenance</t>
  </si>
  <si>
    <t xml:space="preserve">Low administrative costs for
tracking equipment
maintenance needs </t>
  </si>
  <si>
    <t>N-12</t>
  </si>
  <si>
    <t>Engine Replacement/Repower or Upgrades</t>
  </si>
  <si>
    <t>EPA’s Diesel Emissions from Construction and Agriculture Reduction Policy, Final Report Potential Emission Control Strategies Available for Evaluation by the City of San Antonio</t>
  </si>
  <si>
    <t>N-13</t>
  </si>
  <si>
    <t>Equipment Operator Training</t>
  </si>
  <si>
    <t>Upfront investment in operator
training – cost varies by
training program</t>
  </si>
  <si>
    <t>N-14</t>
  </si>
  <si>
    <t>Idling Reduction and Control</t>
  </si>
  <si>
    <t>Low administrative costs for
training and tracking of idling</t>
  </si>
  <si>
    <t>N-15</t>
  </si>
  <si>
    <t>Retrofit Technologies (various)</t>
  </si>
  <si>
    <t>$4,500 / ton</t>
  </si>
  <si>
    <t>Reduction % will vary by technology. Reductions here based on Caterpillar, Inc. Emissions Upgrade Package retrofit</t>
  </si>
  <si>
    <t>$16,000/ton NOx+VOC</t>
  </si>
  <si>
    <t>C-E for full electrification option.</t>
  </si>
  <si>
    <t>https://dieselnet.com/news/2013/10ucr.php</t>
  </si>
  <si>
    <t>$12,750/ton NOx</t>
  </si>
  <si>
    <t>R-1</t>
  </si>
  <si>
    <t xml:space="preserve">Locomotive Engines (Passenger) </t>
  </si>
  <si>
    <t xml:space="preserve">Accelerated Replacement of Existing Locomotive Engines Meeting Tier 4 or Cleaner Exhaust Standards </t>
  </si>
  <si>
    <t>$5,000/ ton NOx</t>
  </si>
  <si>
    <t>Idling Reduction</t>
  </si>
  <si>
    <t>$3,250/ ton NOx</t>
  </si>
  <si>
    <t>EPA Menu of Control Measures, EPA’s Transportation Initiatives Documents, EPA’s Smart Way Retrofit Technologies</t>
  </si>
  <si>
    <t>https://nepis.epa.gov/Exe/ZyPDF.cgi/P1005MER.PDF?Dockey=P1005MER.PDF</t>
  </si>
  <si>
    <t>https://www.epa.gov/verified-diesel-tech/locomotive-technology</t>
  </si>
  <si>
    <t>R-3</t>
  </si>
  <si>
    <t>Upgrade Engines in Switcher Locomotives - Diesel-Electric Hybrid Locomotives</t>
  </si>
  <si>
    <t>$12,250 ton of NOx + diesel PM</t>
  </si>
  <si>
    <t xml:space="preserve">https://www.epa.gov/ports-initiative/rail-and-locomotives-best-practices </t>
  </si>
  <si>
    <t>https://www.epa.gov/verified-diesel-tech/smartway-verified-list-idling-reduction-technologies-irts-locomotives</t>
  </si>
  <si>
    <t>R-5</t>
  </si>
  <si>
    <t>Engine Repowering, Retrofitting and New Engines</t>
  </si>
  <si>
    <t>South Coast Air Quality Management District Rules Compliance SCAQMD 2016 AQMP</t>
  </si>
  <si>
    <t>M-1</t>
  </si>
  <si>
    <t xml:space="preserve">Harbor Craft </t>
  </si>
  <si>
    <t>Repower Engines</t>
  </si>
  <si>
    <t>$1,000-10,000/ton NOx</t>
  </si>
  <si>
    <t xml:space="preserve">Applicable to harbor craft </t>
  </si>
  <si>
    <t>South Coast Air Quality Management District Rules Compliance</t>
  </si>
  <si>
    <t>http://www.aqmd.gov/docs/default-source/ceqa/handbook/mitigation-measures-and-control-efficiencies/harbor-craft/repowered-engines/harbor-craft-table-vi.doc?sfvrsn=2</t>
  </si>
  <si>
    <t>M-2</t>
  </si>
  <si>
    <t>Alternative Fuel - LNG</t>
  </si>
  <si>
    <t>Applicable to vessels with category 3 engines.</t>
  </si>
  <si>
    <t>ARB Technology and Fuel Assessment</t>
  </si>
  <si>
    <t xml:space="preserve">https://ww3.arb.ca.gov/msprog/tech/techreport/ogv_tech_report.pdf?_ga=2.230934559.1482670883.1592267227-553220935.1580231837 </t>
  </si>
  <si>
    <t>M-3</t>
  </si>
  <si>
    <t>Alternative Maritime Power (AMP), Shore Power, Cold-Ironing</t>
  </si>
  <si>
    <t>$12,250 - NOx+PM combined</t>
  </si>
  <si>
    <t>Applicable to vessels with category 3 engines. C-E only available for combination of pollutants</t>
  </si>
  <si>
    <t>Climate Action Air Plan, EPA’s Ports Initiative, EPA Menu of Control Measures, CARB Shoreside Power</t>
  </si>
  <si>
    <t xml:space="preserve">https://www.portoflosangeles.org/environment/air-quality/alternative-maritime-power-(amp) </t>
  </si>
  <si>
    <t>https://www.epa.gov/ports-initiative/shore-power-technology-assessment-us-ports</t>
  </si>
  <si>
    <t>https://www.epa.gov/sites/production/files/2017-05/documents/420r17004-2017-update.pdf</t>
  </si>
  <si>
    <t>https://ww3.arb.ca.gov/ports/shorepower/shorepower.htm</t>
  </si>
  <si>
    <t>M-4, M-5</t>
  </si>
  <si>
    <t>Marine Engine Control Technology and Upgrades</t>
  </si>
  <si>
    <t>$500-$5000 /ton NOx</t>
  </si>
  <si>
    <t>Applicable to harbor craft. Penetration will vary widely as measure is applicable to specific engine model years.</t>
  </si>
  <si>
    <t>Ramboll 2018 Report: Impact of Updated Service Life Estimates on Harbor Craft and Switcher Locomotive Emission Forecasts and Cost-Effectiveness Draft Final Report</t>
  </si>
  <si>
    <t xml:space="preserve">https://www.epa.gov/verified-diesel-tech/verified-technologies-list-clean-diesel </t>
  </si>
  <si>
    <t xml:space="preserve">https://www.portoflosangeles.org/environment/air-quality/environmental-ship-index </t>
  </si>
  <si>
    <t>$0</t>
  </si>
  <si>
    <t>http://www.aqmd.gov/docs/default-source/ceqa/handbook/mitigation-measures-and-control-efficiencies/ocean-going-vessels/ocean-going-vessels/ocean-going-vessels-table-ix.doc?sfvrsn=2</t>
  </si>
  <si>
    <t>M-7</t>
  </si>
  <si>
    <t>Switch to Low Sulfur Content Fuel</t>
  </si>
  <si>
    <t>Since IMO requirements will limit fuel sulfur content to 0.5% sulfur for most ships by 2020, this measure does not result in additional emission reductions</t>
  </si>
  <si>
    <t>M-8</t>
  </si>
  <si>
    <t>Selective Catalytic Reduction with Low Sulfur Fuel for Vessel Propulsion Engines</t>
  </si>
  <si>
    <t>M-9</t>
  </si>
  <si>
    <t xml:space="preserve">Retrofit with Slide Valves </t>
  </si>
  <si>
    <t>M-10</t>
  </si>
  <si>
    <t>Water/Fuel Emulsion Used in Propulsion &amp; Auxiliary Engines</t>
  </si>
  <si>
    <t>M-11</t>
  </si>
  <si>
    <t>Water Injection in Propulsion &amp; Auxiliary Engines</t>
  </si>
  <si>
    <t>A-1</t>
  </si>
  <si>
    <t>Airports General</t>
  </si>
  <si>
    <t>Passenger and Overall System Efficiency Increases</t>
  </si>
  <si>
    <t xml:space="preserve">$2,218 / ton VOC+CO+NOx combined </t>
  </si>
  <si>
    <t>A-3</t>
  </si>
  <si>
    <t>$5,800/ ton NOx</t>
  </si>
  <si>
    <t>C-E only available for NOx</t>
  </si>
  <si>
    <t>$ 0</t>
  </si>
  <si>
    <t>CAPCOA Greenhouse Gas Mitigation Measures (2010)</t>
  </si>
  <si>
    <t>http://www.capcoa.org/wp-content/uploads/2010/11/CAPCOA-Quantification-Report-9-14-Final.pdf</t>
  </si>
  <si>
    <t>https://www.fhwa.dot.gov/environment/air_quality/cmaq/reference/cost_effectiveness_tables/#Toc445205112</t>
  </si>
  <si>
    <t>$222k - 1.5M/ton NOx</t>
  </si>
  <si>
    <t>https://www.fhwa.dot.gov/ENVIRonment/air_quality/cmaq/research/safetea-lu_phase_1/section_four.cfm</t>
  </si>
  <si>
    <t>$130k - 1.5M/ton VOC</t>
  </si>
  <si>
    <t>O-37</t>
  </si>
  <si>
    <t>Limit Parking Supply (PDT-1) / Park and Ride</t>
  </si>
  <si>
    <t>$12k-4.9M /ton NOx</t>
  </si>
  <si>
    <t>$14k-8.5M/ton VOC</t>
  </si>
  <si>
    <t>O-38</t>
  </si>
  <si>
    <t>Implement Voluntary Commute Trip Reduction Program (TRT-1)
Employee Commute Programs (vanpool, carpool, bicycles, transit) - various</t>
  </si>
  <si>
    <t xml:space="preserve">CAPCOA Greenhouse Gas Mitigation Measures (2010)
Caltrans Activities to Address Climate Change (2013)
Bar Area MTC Climate Initiatives Program: Evaluation Summary Report (2015)
</t>
  </si>
  <si>
    <t>https://dot.ca.gov/-/media/dot-media/programs/transportation-planning/documents/caltrans-climatechangerprt-final-april-2013-a11y-.pdf</t>
  </si>
  <si>
    <t>https://mtc.ca.gov/sites/default/files/CIP%20Evaluation%20Summary%20Report_7-13-15_FINAL.pdf</t>
  </si>
  <si>
    <t>$5,800-176,000/ton VOC</t>
  </si>
  <si>
    <t>$32,000 per ton of NOx and VOC</t>
  </si>
  <si>
    <t>Cost effectiveness added From City of San Antonio Control Strategies Study</t>
  </si>
  <si>
    <t xml:space="preserve">CAPCOA Greenhouse Gas Mitigation Measures (2010)
</t>
  </si>
  <si>
    <t>Cost will vary by implementation strategy</t>
  </si>
  <si>
    <t>CARB Proposed 2016 State
Strategy for the State
Implementation Plan</t>
  </si>
  <si>
    <t>https://ww3.arb.ca.gov/planning/sip/2016sip/2016statesip.pdf</t>
  </si>
  <si>
    <t>$2,900 - 4,600/ton NOx</t>
  </si>
  <si>
    <t>Tonnage reduction reported divided by inventory total, 10%, very high, extremely aggressive.</t>
  </si>
  <si>
    <t>Ann Arbor, Michigan - Code of Ordinances</t>
  </si>
  <si>
    <t>https://library.municode.com/mi/ann_arbor/codes/code_of_ordinances?nodeId=TITVIFOHE_CH72IDRE</t>
  </si>
  <si>
    <t>https://www.fhwa.dot.gov/environment/air_quality/cmaq/reference/cost_effectiveness_tables/#Toc445205128</t>
  </si>
  <si>
    <t>https://ww2.arb.ca.gov/our-work/programs/atcm-to-limit-vehicle-idling</t>
  </si>
  <si>
    <t>Detroit, Michigan – Code of Ordinances</t>
  </si>
  <si>
    <t>https://library.municode.com/mi/detroit/codes/code_of_ordinances?nodeId=PTIVDECO_CH46TRVE_ARTIVLORE_DIV5IDPRCOVEEXGRVEWERA8500PO [Sec. 46 – 4 – (81 – 84)]</t>
  </si>
  <si>
    <t>https://ww3.arb.ca.gov/regact/idling/idling.htm; https://ww3.arb.ca.gov/regact/idling/isorappf.pdf</t>
  </si>
  <si>
    <t>O-43</t>
  </si>
  <si>
    <t>Ridesharing programs</t>
  </si>
  <si>
    <t>NOX</t>
  </si>
  <si>
    <t>$78k - 440k/ton NOx</t>
  </si>
  <si>
    <t>Limited by voluntary compliance</t>
  </si>
  <si>
    <t>Federal Highway Administration (2017)</t>
  </si>
  <si>
    <t>https://www.nap.edu/read/10350/chapter/6#128</t>
  </si>
  <si>
    <t>$86k - 490k/ton VOC</t>
  </si>
  <si>
    <t>Final Report Potential Emission Control Strategies Available for Evaluation by the City of San Antonio</t>
  </si>
  <si>
    <t>https://ww2.arb.ca.gov/our-work/programs/zero-emission-landscaping-equipment/zero-emission-landscaping-equipment-incentive</t>
  </si>
  <si>
    <t>N-19</t>
  </si>
  <si>
    <t>Recreational Vehicles (ATVs, MCs, Snowmobiles)</t>
  </si>
  <si>
    <t>Western Agricultural Processors Association</t>
  </si>
  <si>
    <t>https://agprocessors.org/news/421-latest-news-air-district-electric-atv-incentive-program</t>
  </si>
  <si>
    <t>Title 35, Part 241: Clean Fuel Fleet ProgramTitle 35,
Part 275: Alternate Fuels ProgramTitle 35, 
Part 276: Vehicle emissions inspection program</t>
  </si>
  <si>
    <t>Title 326, Article 13 (Northwest Indiana Vehicle Emissions Testing Program)
Title 326, Article 19 Mobile Source Rules (Northwest Clean Fuel Fleet Vehicles)</t>
  </si>
  <si>
    <t xml:space="preserve">  </t>
  </si>
  <si>
    <t>Clean Cars Minnesota (not yet adopted)</t>
  </si>
  <si>
    <t xml:space="preserve">Chapter 3745-26, Motor Vehicle Inspection and Maintenance (I/M) Program 
Chapter 3745-80, Statewide Motor Vehicle Anti-Tampering Program  </t>
  </si>
  <si>
    <t>Chapter NR 485 Control of Emissions From Motor Vehicles, Internal Combustion Engines And Mobile Sources; Tampering Prohibition
Chapter NR 486 Employee Commute Options Program
Chapter NR 487 Clean Fuel Fleet Program</t>
  </si>
  <si>
    <t>NEI SCCs do not distinguish residential or commercial fuel combustion by type, only by fuel, therefore, % LADCO-wide emissions subject to measure is conservatively high</t>
  </si>
  <si>
    <t>NP - 2</t>
  </si>
  <si>
    <t>Industrial Natural Gas Combustion</t>
  </si>
  <si>
    <t>RACT to 25 tpy (Low NOx Burner)</t>
  </si>
  <si>
    <t>$2,419-$2,638 / ton NOx</t>
  </si>
  <si>
    <t>https://www.epa.gov/sites/production/files/2015-11/documents/assessment_of_non-egu_nox_emission_controls_and_appendices_a_b.pdf</t>
  </si>
  <si>
    <t>NP - 3</t>
  </si>
  <si>
    <t>RACT to 50 tpy (Low NOx Burner)</t>
  </si>
  <si>
    <t>$2,419-$2,638 /ton NOx</t>
  </si>
  <si>
    <t>NP - 4</t>
  </si>
  <si>
    <t>Natural-Gas-Fired, Fan-Type Central Furnaces</t>
  </si>
  <si>
    <t>Natural-Gas-Fired, Fan-Type Central Furnaces Emissions Limits</t>
  </si>
  <si>
    <t>$8,600 - $19,000 /ton NOx</t>
  </si>
  <si>
    <t xml:space="preserve">http://www.aqmd.gov/docs/default-source/rule-book/reg-xi/rule-1111.pdf </t>
  </si>
  <si>
    <t>https://www.baaqmd.gov/~/media/files/engineering/bact-tbact-workshop/appendix/cost-effectiveness-calculations-nox.pdf</t>
  </si>
  <si>
    <t>https://www.aqmd.gov/docs/default-source/rule-book/Proposed-Rules/1111/par-1111-2017-18-draft-staff-report.pdf?sfvrsn=4</t>
  </si>
  <si>
    <t>$20,000 - $200,000/ton</t>
  </si>
  <si>
    <t>Applicable to non-residential gaseous/liquid-fired boilers/process heaters.</t>
  </si>
  <si>
    <t>San Joaquin Valley 2016 Plan for the 2008 8-Hour Ozone Standard</t>
  </si>
  <si>
    <t xml:space="preserve">http://www.valleyair.org/Air_Quality_Plans/Ozone-Plan-2016.htm </t>
  </si>
  <si>
    <t>https://downloads.regulations.gov/EPA-R09-OAR-2019-0318-0162/attachment_4.pdf</t>
  </si>
  <si>
    <t>http://www.aqmd.gov/docs/default-source/Agendas/Governing-Board/2018/2018-july6-026.pdf</t>
  </si>
  <si>
    <t>$928-$1,974</t>
  </si>
  <si>
    <t>South Coast Air Quality Management Plan</t>
  </si>
  <si>
    <t>Commercial and Residential Cooking Appliances</t>
  </si>
  <si>
    <t>Low Emissions Burners and Incentives</t>
  </si>
  <si>
    <t>$15,000-$30,000</t>
  </si>
  <si>
    <t>NP - 9</t>
  </si>
  <si>
    <t>Industrial Coal Combustion</t>
  </si>
  <si>
    <t>RACT to 25/50 tpy (Low NOx Burner)</t>
  </si>
  <si>
    <t>NP - 10</t>
  </si>
  <si>
    <t>Industrial Oil Combustion</t>
  </si>
  <si>
    <t>NP - 11</t>
  </si>
  <si>
    <t>Low NOx Burner and Selective Non-Catalytic Reduction</t>
  </si>
  <si>
    <t>$3,691 for NOx&lt;1 tpd and $1,990 for NOx&gt;1 tpd</t>
  </si>
  <si>
    <t>Point source-focused measure</t>
  </si>
  <si>
    <t>NP - 12</t>
  </si>
  <si>
    <t>Bakery Products</t>
  </si>
  <si>
    <t>Catalytic Incineration</t>
  </si>
  <si>
    <t>includes ag burning, emission reduction effect and cost effectiveness dependent on program stringency and implementation</t>
  </si>
  <si>
    <t>https://www.epa.gov/sites/production/files/2015-08/documents/iii16_apr2001.pdf</t>
  </si>
  <si>
    <t>https://www.dep.pa.gov/Business/Air/BAQ/GeneralInformation/Pages/Open-Burning-Information.aspx</t>
  </si>
  <si>
    <t>NP - 14</t>
  </si>
  <si>
    <t xml:space="preserve">SCAQMD Open Burn Program Rule 444 </t>
  </si>
  <si>
    <t xml:space="preserve">http://www.aqmd.gov/home/rules-compliance/compliance/open-burn </t>
  </si>
  <si>
    <t>NP - 15</t>
  </si>
  <si>
    <t>Opening Burning Rule 4103</t>
  </si>
  <si>
    <t>http://www.valleyair.org/Air_Quality_Plans/Ozone-Plan-2016/c.pdf</t>
  </si>
  <si>
    <t>NP - 16</t>
  </si>
  <si>
    <t>CARB Outdoor Residential Waste Burning Requirements</t>
  </si>
  <si>
    <t>CARB Programs</t>
  </si>
  <si>
    <t xml:space="preserve">https://ww2.arb.ca.gov/our-work/programs/outdoor-residential-waste-burning </t>
  </si>
  <si>
    <t>https://ww3.arb.ca.gov/regact/reswstebrn/reswstebrn.htm</t>
  </si>
  <si>
    <t>NP - 17</t>
  </si>
  <si>
    <t xml:space="preserve">Alternatives to Burning: Biomass </t>
  </si>
  <si>
    <t xml:space="preserve">http://www.aqmd.gov/home/rules-compliance/compliance/open-burn/alternatives-to-burning </t>
  </si>
  <si>
    <t>NP - 18</t>
  </si>
  <si>
    <t>Architectural Coatings</t>
  </si>
  <si>
    <t>$8,000-$12,000</t>
  </si>
  <si>
    <t>Assumed cost effectiveness similar to NP-31</t>
  </si>
  <si>
    <t xml:space="preserve">http://www.aqmd.gov/docs/default-source/rule-book/reg-xi/r1113.pdf?sfvrsn=17 </t>
  </si>
  <si>
    <t xml:space="preserve">http://www.aqmd.gov/docs/default-source/rule-book/reg-xi/rule-1130.pdf?sfvrsn=4 </t>
  </si>
  <si>
    <t>NP - 20</t>
  </si>
  <si>
    <t>Solvent Degreasers</t>
  </si>
  <si>
    <t xml:space="preserve">http://www.aqmd.gov/docs/default-source/rule-book/reg-xi/rule-1122-solvent-degreasers.pdf?sfvrsn=4 </t>
  </si>
  <si>
    <t>Cold Cleaning Degreasing</t>
  </si>
  <si>
    <t>NP - 22</t>
  </si>
  <si>
    <t>Reformulation-Process Modification (Ozone Transport Commission Rule)</t>
  </si>
  <si>
    <t>Open Top Degreasing</t>
  </si>
  <si>
    <t>NP - 24</t>
  </si>
  <si>
    <t xml:space="preserve">Reformulation-Process Modification </t>
  </si>
  <si>
    <t>Pharmaceuticals and Cosmetics Manufacturing Operations</t>
  </si>
  <si>
    <t>Point source-focused measure limited to manufacturing operations</t>
  </si>
  <si>
    <t xml:space="preserve">http://www.aqmd.gov/docs/default-source/rule-book/reg-xi/rule-1103-pharmaceuticals-and-cosmetics-manufacturing-operations.pdf?sfvrsn=4 </t>
  </si>
  <si>
    <t>Cost effectiveness  = $5,891 /ton VOC based OTC Consumer Products Phase V (2018)</t>
  </si>
  <si>
    <t>NP - 27</t>
  </si>
  <si>
    <t>Reformulation (2001/2006 OTC Model Rule)</t>
  </si>
  <si>
    <t>$1,244-$4,820</t>
  </si>
  <si>
    <t>NP - 28</t>
  </si>
  <si>
    <t>Pesticide Application</t>
  </si>
  <si>
    <t>Reformulation</t>
  </si>
  <si>
    <t>NP - 29</t>
  </si>
  <si>
    <t>Household solvents, Personal Products</t>
  </si>
  <si>
    <t>Cleaner Product Certification Program</t>
  </si>
  <si>
    <t>SCAQMD Clean Air Choices Cleaner Product Certification</t>
  </si>
  <si>
    <t xml:space="preserve">http://www.aqmd.gov/home/programs/business/business-detail?title=cacc-cert&amp;parent=certification-programs-training </t>
  </si>
  <si>
    <t>NP - 30</t>
  </si>
  <si>
    <t>Household solvents, Personal Products, FIFRA</t>
  </si>
  <si>
    <t>CARB Consumer Product Regulations</t>
  </si>
  <si>
    <t xml:space="preserve">https://ww3.arb.ca.gov/consprod/regs/2019/regs-all_final_5_2019.pdf </t>
  </si>
  <si>
    <t xml:space="preserve">https://ww2.arb.ca.gov/our-work/programs/consumer-products-program </t>
  </si>
  <si>
    <t>NP - 31</t>
  </si>
  <si>
    <t>Coatings, Solvents, Adhesives, and Lubricants</t>
  </si>
  <si>
    <t>Reduce the Allowable VOC Content in Product Formulas</t>
  </si>
  <si>
    <t>Control data from SJVAPCD: Rule 4653 - Adhesives; summarizes other district measures</t>
  </si>
  <si>
    <t xml:space="preserve">http://www.aqmd.gov/docs/default-source/rule-book/reg-xi/rule-1168.pdf?sfvrsn=4 </t>
  </si>
  <si>
    <t>http://www.valleyair.org/Air_Quality_Plans/docs/RACTSIP-2009.pdf</t>
  </si>
  <si>
    <t>NP - 33</t>
  </si>
  <si>
    <t>Solvent Cleaning Operations</t>
  </si>
  <si>
    <t xml:space="preserve">http://www.aqmd.gov/docs/default-source/rule-book/reg-xi/rule-1171.pdf?sfvrsn=4 </t>
  </si>
  <si>
    <t>NP - 34</t>
  </si>
  <si>
    <t>Adhesives - Industrial</t>
  </si>
  <si>
    <t>EPA Clean Air Technology Center (EPA-456/K-01-001)</t>
  </si>
  <si>
    <t>NP - 36</t>
  </si>
  <si>
    <t>Marine and Pleasure Craft Coatings</t>
  </si>
  <si>
    <t>Control data from SJVAPCD Rule 4612 - Motor Vehicle and Mobile Equipment Coating Operations</t>
  </si>
  <si>
    <t>South Coast Air Quality Management District Rules / San Joaquin Valley Unified Air Pollution Control District rules</t>
  </si>
  <si>
    <t xml:space="preserve">www.aqmd.gov/docs/default-source/rule-book/reg-xi/r1106.pdf?sfvrsn=4 </t>
  </si>
  <si>
    <t>NP - 37</t>
  </si>
  <si>
    <t>Coating of Metal Parts and Products</t>
  </si>
  <si>
    <t xml:space="preserve">http://www.aqmd.gov/docs/default-source/rule-book/reg-xi/r1107.pdf?sfvrsn=4 </t>
  </si>
  <si>
    <t>NP - 38</t>
  </si>
  <si>
    <t>Paper, Fabric, and Film Coating Operations</t>
  </si>
  <si>
    <t xml:space="preserve">Control data from SJVAPCD Rule 4607 – Graphic Arts </t>
  </si>
  <si>
    <t xml:space="preserve">http://www.aqmd.gov/docs/default-source/rule-book/reg-xi/rule-1128.pdf?sfvrsn=4 </t>
  </si>
  <si>
    <t>NP - 39</t>
  </si>
  <si>
    <t>Motor Vehicle and Mobile Equipment Non-Assembly Line Coating Operations</t>
  </si>
  <si>
    <t xml:space="preserve">http://www.aqmd.gov/docs/default-source/rule-book/reg-xi/rule-1151.pdf?sfvrsn=4 </t>
  </si>
  <si>
    <t>NP - 40</t>
  </si>
  <si>
    <t>Coating and Ink Manufacturing Requirements</t>
  </si>
  <si>
    <t xml:space="preserve">Point source-focused measure. Control data from SJVAPCD Rule 4607 – Graphic Arts </t>
  </si>
  <si>
    <t xml:space="preserve">http://www.aqmd.gov/docs/default-source/rule-book/reg-xi/rule-1141-1.pdf?sfvrsn=4 </t>
  </si>
  <si>
    <t>NP - 42</t>
  </si>
  <si>
    <t>Aerosol Coatings</t>
  </si>
  <si>
    <t>This measure affects use of aerosol product and we were unable to isolate SCC emissions for this source</t>
  </si>
  <si>
    <t>NP - 44</t>
  </si>
  <si>
    <t>Coating Operations at Aerospace Manufacturing and Rework Operations</t>
  </si>
  <si>
    <t>Control Technology Guidelines</t>
  </si>
  <si>
    <t>NP - 45</t>
  </si>
  <si>
    <t>Metal Can and Metal Coil Surface Coating</t>
  </si>
  <si>
    <t>NP - 46</t>
  </si>
  <si>
    <t>Permanent Total Enclosure (PTE)</t>
  </si>
  <si>
    <t>NP - 47</t>
  </si>
  <si>
    <t>Incineration</t>
  </si>
  <si>
    <t>NP - 49</t>
  </si>
  <si>
    <t>Metal Furniture, Appliances, Parts</t>
  </si>
  <si>
    <t>NP - 50</t>
  </si>
  <si>
    <t>Metal part and Products coating</t>
  </si>
  <si>
    <t>NP - 51</t>
  </si>
  <si>
    <t>Mobile Equipment Repair and Refinishing</t>
  </si>
  <si>
    <t>Ozone Transport Commission (OTC)  Model Rule</t>
  </si>
  <si>
    <t>NP - 52</t>
  </si>
  <si>
    <t>California Air Resources Board - Suggested Control Measures for Automotive Coatings</t>
  </si>
  <si>
    <t>NP - 53</t>
  </si>
  <si>
    <t>Rubber/Plastics Coating</t>
  </si>
  <si>
    <t>Measure includes point source SCCs</t>
  </si>
  <si>
    <t>NP - 54</t>
  </si>
  <si>
    <t xml:space="preserve">Shipbuilding and Ship Repair (Surface Coating) </t>
  </si>
  <si>
    <t>Wood Furniture Surface Coating</t>
  </si>
  <si>
    <t>NP - 56</t>
  </si>
  <si>
    <t>Add-On Controls</t>
  </si>
  <si>
    <t>NP - 57</t>
  </si>
  <si>
    <t>Wood Product Surface Coating</t>
  </si>
  <si>
    <t>ARB estimates $2,219/ton, Others estimate $6,340 to $16,840/ton)</t>
  </si>
  <si>
    <t>Point source-focused measure. Assumed same emission reductions and cost effectiveness as NP-61</t>
  </si>
  <si>
    <t>Several Sources</t>
  </si>
  <si>
    <t>https://www.aqmd.gov/home/rules-compliance/rules</t>
  </si>
  <si>
    <t>NP - 60</t>
  </si>
  <si>
    <t>Miscellaneous Metal and Plastic Parts Coatings</t>
  </si>
  <si>
    <t>Coating Reformulation</t>
  </si>
  <si>
    <t>Point source-focused measure.</t>
  </si>
  <si>
    <t>NP - 63</t>
  </si>
  <si>
    <t>Industrial Cleaning Solvents - Other Non-Halogenated Solvent Cleaning Operations</t>
  </si>
  <si>
    <t>Low VOC Cleaning Materials and Improved Work Practices</t>
  </si>
  <si>
    <t>NP - 64</t>
  </si>
  <si>
    <t>Refrigerated Condensers</t>
  </si>
  <si>
    <t>EPA Clean Air Technology Center (EPA-456/R-01-004)</t>
  </si>
  <si>
    <t>https://www.epa.gov/catc/about-clean-air-technology-center</t>
  </si>
  <si>
    <t>NP - 65</t>
  </si>
  <si>
    <t>Fugitive Emissions</t>
  </si>
  <si>
    <t>Improved/Expanded Leak Detection Programs</t>
  </si>
  <si>
    <t>NP - 66</t>
  </si>
  <si>
    <t>Thermally Enhanced Oil Recovery Wells</t>
  </si>
  <si>
    <t>Steam Drive Well Emissions Restrictions</t>
  </si>
  <si>
    <t>Information on thermally enhanced oil wells in LADCO region not available</t>
  </si>
  <si>
    <t xml:space="preserve">http://www.aqmd.gov/docs/default-source/rule-book/reg-xi/rule-1148.pdf?sfvrsn=4 </t>
  </si>
  <si>
    <t>NP - 67</t>
  </si>
  <si>
    <t>Oil and Gas Production Wells</t>
  </si>
  <si>
    <t>Oil and Gas Production Wells Emissions Reductions</t>
  </si>
  <si>
    <t>Assumed similar emission reductions to NP-65</t>
  </si>
  <si>
    <t xml:space="preserve">http://www.aqmd.gov/docs/default-source/rule-book/reg-xi/rule-1148-1.pdf?sfvrsn=4 </t>
  </si>
  <si>
    <t>NP - 68</t>
  </si>
  <si>
    <t>Storage Tank and Pipeline Cleaning and Degassing</t>
  </si>
  <si>
    <t>Storage Tank and Pipeline Cleaning and Degassing Emission Reductions</t>
  </si>
  <si>
    <t>Unable to isolate emissions associated with cleaning and degassing</t>
  </si>
  <si>
    <t xml:space="preserve">http://www.aqmd.gov/docs/default-source/rule-book/reg-xi/rule-1149.pdf?sfvrsn=4 </t>
  </si>
  <si>
    <t>NP - 69</t>
  </si>
  <si>
    <t>Liquefied Petroleum Gas Transfer and Dispensing</t>
  </si>
  <si>
    <t>Liquefied Petroleum Gas Transfer and Dispensing Emissions Reductions</t>
  </si>
  <si>
    <t>Unable to isolate emissions from LPG transfer and dispensing</t>
  </si>
  <si>
    <t xml:space="preserve">http://www.aqmd.gov/docs/default-source/rule-book/reg-xi/rule-1177.pdf?sfvrsn=4 </t>
  </si>
  <si>
    <t>NP - 70</t>
  </si>
  <si>
    <t>Storage Tanks at Petroleum Facilities; Transfer of Petroleum Products</t>
  </si>
  <si>
    <t>NP - 71</t>
  </si>
  <si>
    <t>Storage Tanks at Petroleum Facilities</t>
  </si>
  <si>
    <t>Storage Tanks at Petroleum Facilities Emissions Reductions SCAQMD Rule 1178</t>
  </si>
  <si>
    <t>Emission reductions and cost effectiveness depend on existing level of control for applicable sources</t>
  </si>
  <si>
    <t xml:space="preserve">http://www.aqmd.gov/docs/default-source/rule-book/reg-xi/rule-1178.pdf?sfvrsn=4 </t>
  </si>
  <si>
    <t>NP - 73</t>
  </si>
  <si>
    <t>Stage II Service Stations - Underground Tanks (Breathing and Emptying)</t>
  </si>
  <si>
    <t>LPV Relief Valve</t>
  </si>
  <si>
    <t>NP - 74</t>
  </si>
  <si>
    <t>Gasoline Service Stations</t>
  </si>
  <si>
    <t>Vapor Recovery Systems</t>
  </si>
  <si>
    <t>cost effectiveness variable dependent on application (stage I, stage II, fuel transfer) and throughput exemptions</t>
  </si>
  <si>
    <t xml:space="preserve">http://www.aqmd.gov/home/rules-compliance/compliance/gasoline-dispensing2/archived-advisories </t>
  </si>
  <si>
    <t>NP - 75</t>
  </si>
  <si>
    <t>CARB Vapor Recovery Rules</t>
  </si>
  <si>
    <t xml:space="preserve">https://ww2.arb.ca.gov/our-work/programs/vapor-recovery </t>
  </si>
  <si>
    <t>NP - 76</t>
  </si>
  <si>
    <t>Emulsified Asphalt</t>
  </si>
  <si>
    <t>Organic Compound Restrictions</t>
  </si>
  <si>
    <t xml:space="preserve">http://www.aqmd.gov/docs/default-source/rule-book/reg-xi/rule-1108-1-emulsified-asphalt.pdf?sfvrsn=4 </t>
  </si>
  <si>
    <t>NP - 79</t>
  </si>
  <si>
    <t>Composting</t>
  </si>
  <si>
    <t>Emission Reductions from Co-composting Operations</t>
  </si>
  <si>
    <t xml:space="preserve">http://www.aqmd.gov/docs/default-source/rule-book/reg-xi/rule-1133-2.pdf?sfvrsn=4 </t>
  </si>
  <si>
    <t>NP - 80</t>
  </si>
  <si>
    <t>Construction and Demolition Debris</t>
  </si>
  <si>
    <t>Construction and Demolition Debris Recycling</t>
  </si>
  <si>
    <t>Information on the affect of additional waste stream diversions on emissions inventory is not readily available</t>
  </si>
  <si>
    <t>EPA Construction and Agriculture</t>
  </si>
  <si>
    <t xml:space="preserve">https://www.calrecycle.ca.gov/condemo </t>
  </si>
  <si>
    <t>NP - 82</t>
  </si>
  <si>
    <t>Weatherization and other Efficiency Measures on Existing Residential and Commercial Buildings</t>
  </si>
  <si>
    <t>NP - 85</t>
  </si>
  <si>
    <t>Coal-fueled Boilers and IC Engines</t>
  </si>
  <si>
    <t>SCR</t>
  </si>
  <si>
    <t>$1,000 - $10,000 /ton</t>
  </si>
  <si>
    <t>Cost effectiveness varies by application.  Emissions from nonpoint SCCs including both boilers and IC engines not included for this measure.</t>
  </si>
  <si>
    <t>https://www.epa.gov/sites/production/files/2020-08/documents/fscr.pdf</t>
  </si>
  <si>
    <t>Title 35, Part 237: Open Burning</t>
  </si>
  <si>
    <t>Title 13, Article 17, Chapter 9, andTitle 326, Article 4-1, Burning Regulations (Open Burning)</t>
  </si>
  <si>
    <t>Michigan Air Pollution Control Rules (336.1310) and Part 115 (Solid Waste) Rules</t>
  </si>
  <si>
    <t>Chapter 3745-19, Open Burning Standards</t>
  </si>
  <si>
    <t>Chapter NR 429 Malodorous Emissions and Open Burning</t>
  </si>
  <si>
    <t xml:space="preserve">Title 35, Part 223, Subpart C, Architectural and Industrial Maintenance Coatings
Title 35, Parts 218 and 219, Subpart X: Construction, </t>
  </si>
  <si>
    <t>Title 326, Article 8-14 Volatile Organic Compound Rules (Standards for Architectural and IndustrialMaintenance (AIM) Coatings)</t>
  </si>
  <si>
    <t xml:space="preserve">   </t>
  </si>
  <si>
    <t>Chapter 3745-113, Architectural and Industrial Maintenance (AIM) Coatings based on 2001 OTC model rule</t>
  </si>
  <si>
    <t>Chapter 422.15 Control of Organic Compound Emissions From Surface Coating, Printing And Asphalt Surfacing Operations</t>
  </si>
  <si>
    <t>Title 35, Parts 218 and 219, Subpart H: Printing and Publishing: Printing and Publishing</t>
  </si>
  <si>
    <t>Title 326, Article 8-16 (Offset Lithographic Printing and Letterpress Printing)</t>
  </si>
  <si>
    <t>Part 6 and 7. Emission Limitation and Prohibitions – Existing and New Sources of Volatile Organic Compounds Emissions (336.1624)</t>
  </si>
  <si>
    <t>Chapter NR 422.14(422.145) Control of Organic Compound Emissions From Surface Coating, Printing And Asphalt Surfacing Operations</t>
  </si>
  <si>
    <t xml:space="preserve">Title 35, Parts 218 and 219, Subpart E: Solvent Cleaning, </t>
  </si>
  <si>
    <t>Title 326, Article 8-3 (Organic Solvent Degreasing Operations)</t>
  </si>
  <si>
    <t>Part 6 and 7. Emission Limitation and Prohibitions – Existing and New Sources of Volatile Organic Compounds Emissions (336.1611-336.1614, 336.1707-336.1710)</t>
  </si>
  <si>
    <t>Chapter NR 423 Control of Organic Compound Emissions from Solvent Cleaning Operations</t>
  </si>
  <si>
    <t>Title 35, Part 223: Subpart B: Consumer and Commercial Products</t>
  </si>
  <si>
    <t>Title 326, Article 8-15 (Standards for Consumer and CommercialProducts)</t>
  </si>
  <si>
    <t>Part 6. Emission Limitation and Prohibitions – Existing and New Sources of Volatile Organic Compounds Emissions ( 336.1660, 336.1661)</t>
  </si>
  <si>
    <t>Chapter 3745-112, Consumer Productsbased on 2006 OTC model rule Phase II   </t>
  </si>
  <si>
    <t>Title 35, Parts 218 and 219: Subpart F: Coating Operations</t>
  </si>
  <si>
    <t xml:space="preserve">Title 326, Article 8-14 Volatile Organic Compound Rules (Standards for Architectural and IndustrialMaintenance (AIM) Coatings) </t>
  </si>
  <si>
    <t>Part 6 and7. Emission Limitation and Prohibitions – Existing and New Sources of Volatile Organic Compounds Emissions (336.1610, 336.1620, 336.1621, 336.1632)</t>
  </si>
  <si>
    <t>Chapter 3745-21, Carbon Monoxide, Photochemically Reactive Materials, Hydrocarbons, and Related Materials StandardsChapter 3745-113, Architectural and Industrial Maintenance (AIM) Coatings</t>
  </si>
  <si>
    <t>Chapter NR 421 Control of Organic Compound Emissions from Chemical, Coatings And Rubber Products Manufacturing
Chapter NR 422 Control of Organic Compound Emissions from Surface Coating, Printing And Asphalt Surfacing Operations</t>
  </si>
  <si>
    <t>Chapter NR 419 – Control of Organic Compounds Emissions
Chapter NR 421 - Control of Organic Compound Emissions from Chemical, Coatings and Rubber Products Manufacturing
Chapter NR 423 Control of Organic Compound Emissions from Solvent Cleaning Operations
Chapter NR 424 – Control of Organic Compounds Emissions from Process Lines
Chapter  NR 428 - Control of Nitrogen Compound Emissions</t>
  </si>
  <si>
    <t>Part 6 and 7. Emission Limitation and Prohibitions – Existing and New Sources of Volatile Organic Compounds Emissions (336.1629)</t>
  </si>
  <si>
    <t>-</t>
  </si>
  <si>
    <t>Revised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</si>
</sst>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5" formatCode="&quot;$&quot;#,##0_);\(&quot;$&quot;#,##0\)"/>
    <numFmt numFmtId="43" formatCode="_(* #,##0.00_);_(* \(#,##0.00\);_(* &quot;-&quot;??_);_(@_)"/>
    <numFmt numFmtId="164" formatCode="#,##0.000"/>
    <numFmt numFmtId="165" formatCode="0.0%"/>
    <numFmt numFmtId="166" formatCode="&quot;$&quot;#,##0"/>
    <numFmt numFmtId="167" formatCode="_(* #,##0_);_(* \(#,##0\);_(* &quot;-&quot;??_);_(@_)"/>
    <numFmt numFmtId="168" formatCode="#,##0.0"/>
  </numFmts>
  <fonts count="25" x14ac:knownFonts="1">
    <font>
      <sz val="11"/>
      <color theme="1"/>
      <name val="Calibri"/>
      <family val="2"/>
      <scheme val="minor"/>
    </font>
    <font>
      <sz val="11"/>
      <color theme="1"/>
      <name val="Calibri"/>
      <family val="2"/>
      <scheme val="minor"/>
    </font>
    <font>
      <b/>
      <sz val="11"/>
      <color theme="1"/>
      <name val="Calibri"/>
      <family val="2"/>
      <scheme val="minor"/>
    </font>
    <font>
      <b/>
      <sz val="10"/>
      <color rgb="FF000000"/>
      <name val="Calibri"/>
      <family val="2"/>
      <scheme val="minor"/>
    </font>
    <font>
      <b/>
      <vertAlign val="superscript"/>
      <sz val="10"/>
      <color rgb="FF000000"/>
      <name val="Calibri"/>
      <family val="2"/>
      <scheme val="minor"/>
    </font>
    <font>
      <sz val="9"/>
      <color rgb="FF000000"/>
      <name val="Calibri"/>
      <family val="2"/>
      <scheme val="minor"/>
    </font>
    <font>
      <b/>
      <sz val="9"/>
      <color rgb="FF000000"/>
      <name val="Calibri"/>
      <family val="2"/>
      <scheme val="minor"/>
    </font>
    <font>
      <sz val="11"/>
      <color rgb="FF000000"/>
      <name val="Calibri"/>
      <family val="2"/>
      <scheme val="minor"/>
    </font>
    <font>
      <sz val="10"/>
      <color theme="1"/>
      <name val="Calibri"/>
      <family val="2"/>
      <scheme val="minor"/>
    </font>
    <font>
      <sz val="8"/>
      <color theme="1"/>
      <name val="Calibri"/>
      <family val="2"/>
      <scheme val="minor"/>
    </font>
    <font>
      <u/>
      <sz val="11"/>
      <color theme="10"/>
      <name val="Calibri"/>
      <family val="2"/>
      <scheme val="minor"/>
    </font>
    <font>
      <b/>
      <sz val="11"/>
      <color rgb="FF000000"/>
      <name val="Calibri"/>
      <family val="2"/>
      <scheme val="minor"/>
    </font>
    <font>
      <sz val="9"/>
      <color theme="1"/>
      <name val="Calibri"/>
      <family val="2"/>
      <scheme val="minor"/>
    </font>
    <font>
      <b/>
      <sz val="9"/>
      <color theme="1"/>
      <name val="Calibri"/>
      <family val="2"/>
      <scheme val="minor"/>
    </font>
    <font>
      <b/>
      <sz val="9"/>
      <color rgb="FF0070C0"/>
      <name val="Calibri"/>
      <family val="2"/>
      <scheme val="minor"/>
    </font>
    <font>
      <i/>
      <sz val="9"/>
      <color rgb="FF0070C0"/>
      <name val="Calibri"/>
      <family val="2"/>
      <scheme val="minor"/>
    </font>
    <font>
      <b/>
      <u/>
      <sz val="9"/>
      <color theme="1"/>
      <name val="Calibri"/>
      <family val="2"/>
      <scheme val="minor"/>
    </font>
    <font>
      <i/>
      <sz val="9"/>
      <color theme="1"/>
      <name val="Calibri"/>
      <family val="2"/>
      <scheme val="minor"/>
    </font>
    <font>
      <b/>
      <sz val="11"/>
      <color rgb="FF7030A0"/>
      <name val="Calibri"/>
      <family val="2"/>
      <scheme val="minor"/>
    </font>
    <font>
      <sz val="11"/>
      <color rgb="FF7030A0"/>
      <name val="Calibri"/>
      <family val="2"/>
      <scheme val="minor"/>
    </font>
    <font>
      <i/>
      <sz val="11"/>
      <color rgb="FF7F7F7F"/>
      <name val="Calibri"/>
      <family val="2"/>
      <scheme val="minor"/>
    </font>
    <font>
      <sz val="8"/>
      <color theme="0"/>
      <name val="Calibri"/>
      <family val="2"/>
      <scheme val="minor"/>
    </font>
    <font>
      <sz val="11"/>
      <color theme="0" tint="-0.249977111117893"/>
      <name val="Calibri"/>
      <family val="2"/>
      <scheme val="minor"/>
    </font>
    <font>
      <sz val="9"/>
      <color theme="0" tint="-0.249977111117893"/>
      <name val="Calibri"/>
      <family val="2"/>
      <scheme val="minor"/>
    </font>
    <font>
      <sz val="9"/>
      <color theme="2"/>
      <name val="Calibri"/>
      <family val="2"/>
      <scheme val="minor"/>
    </font>
  </fonts>
  <fills count="8">
    <fill>
      <patternFill patternType="none"/>
    </fill>
    <fill>
      <patternFill patternType="gray125"/>
    </fill>
    <fill>
      <patternFill patternType="solid">
        <fgColor rgb="FFCAE5F9"/>
        <bgColor indexed="64"/>
      </patternFill>
    </fill>
    <fill>
      <patternFill patternType="solid">
        <fgColor theme="4" tint="0.79998168889431442"/>
        <bgColor theme="4" tint="0.79998168889431442"/>
      </patternFill>
    </fill>
    <fill>
      <patternFill patternType="solid">
        <fgColor rgb="FFD9D9D9"/>
        <bgColor indexed="64"/>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right/>
      <top style="thin">
        <color auto="1"/>
      </top>
      <bottom style="thin">
        <color auto="1"/>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medium">
        <color indexed="64"/>
      </top>
      <bottom/>
      <diagonal/>
    </border>
    <border>
      <left/>
      <right style="thin">
        <color indexed="64"/>
      </right>
      <top/>
      <bottom style="thin">
        <color indexed="64"/>
      </bottom>
      <diagonal/>
    </border>
    <border>
      <left/>
      <right style="thin">
        <color indexed="64"/>
      </right>
      <top/>
      <bottom/>
      <diagonal/>
    </border>
    <border>
      <left/>
      <right/>
      <top/>
      <bottom style="thin">
        <color indexed="64"/>
      </bottom>
      <diagonal/>
    </border>
  </borders>
  <cellStyleXfs count="5">
    <xf numFmtId="0" fontId="0" fillId="0" borderId="0"/>
    <xf numFmtId="43" fontId="1" fillId="0" borderId="0" applyFont="0" applyFill="0" applyBorder="0" applyAlignment="0" applyProtection="0"/>
    <xf numFmtId="9" fontId="1" fillId="0" borderId="0" applyFont="0" applyFill="0" applyBorder="0" applyAlignment="0" applyProtection="0"/>
    <xf numFmtId="0" fontId="10" fillId="0" borderId="0" applyNumberFormat="0" applyFill="0" applyBorder="0" applyAlignment="0" applyProtection="0"/>
    <xf numFmtId="0" fontId="20" fillId="0" borderId="0" applyNumberFormat="0" applyFill="0" applyBorder="0" applyAlignment="0" applyProtection="0"/>
  </cellStyleXfs>
  <cellXfs count="213">
    <xf numFmtId="0" fontId="0" fillId="0" borderId="0" xfId="0"/>
    <xf numFmtId="0" fontId="3" fillId="2" borderId="1" xfId="0" applyFont="1" applyFill="1" applyBorder="1" applyAlignment="1">
      <alignment horizontal="center" vertical="center" wrapText="1"/>
    </xf>
    <xf numFmtId="0" fontId="3" fillId="2" borderId="1" xfId="0" applyFont="1" applyFill="1" applyBorder="1" applyAlignment="1">
      <alignment vertical="center" wrapText="1"/>
    </xf>
    <xf numFmtId="0" fontId="5" fillId="0" borderId="1" xfId="0" applyFont="1" applyBorder="1" applyAlignment="1">
      <alignment horizontal="center" vertical="center" wrapText="1"/>
    </xf>
    <xf numFmtId="0" fontId="6" fillId="0" borderId="1" xfId="0" applyFont="1" applyBorder="1" applyAlignment="1">
      <alignment vertical="center" wrapText="1"/>
    </xf>
    <xf numFmtId="0" fontId="5" fillId="0" borderId="1" xfId="0" applyFont="1" applyBorder="1" applyAlignment="1">
      <alignment vertical="center" wrapText="1"/>
    </xf>
    <xf numFmtId="0" fontId="7" fillId="0" borderId="1" xfId="0" applyFont="1" applyBorder="1" applyAlignment="1">
      <alignment horizontal="center" vertical="center" wrapText="1"/>
    </xf>
    <xf numFmtId="9" fontId="7" fillId="0" borderId="1" xfId="2" applyFont="1" applyBorder="1" applyAlignment="1">
      <alignment horizontal="center" vertical="center" wrapText="1"/>
    </xf>
    <xf numFmtId="9" fontId="7" fillId="0" borderId="1" xfId="0" applyNumberFormat="1" applyFont="1" applyBorder="1" applyAlignment="1">
      <alignment horizontal="center" vertical="center" wrapText="1"/>
    </xf>
    <xf numFmtId="3" fontId="8" fillId="0" borderId="1" xfId="0" applyNumberFormat="1" applyFont="1" applyBorder="1" applyAlignment="1">
      <alignment horizontal="center" vertical="center" wrapText="1"/>
    </xf>
    <xf numFmtId="10" fontId="0" fillId="0" borderId="1" xfId="2" applyNumberFormat="1" applyFont="1" applyBorder="1" applyAlignment="1">
      <alignment horizontal="center" vertical="center"/>
    </xf>
    <xf numFmtId="3" fontId="0" fillId="0" borderId="1" xfId="1" applyNumberFormat="1" applyFont="1" applyBorder="1" applyAlignment="1">
      <alignment horizontal="center" vertical="center"/>
    </xf>
    <xf numFmtId="0" fontId="5" fillId="0" borderId="1" xfId="0" applyFont="1" applyBorder="1" applyAlignment="1">
      <alignment horizontal="left" vertical="center" wrapText="1"/>
    </xf>
    <xf numFmtId="0" fontId="5" fillId="0" borderId="1" xfId="0" applyFont="1" applyBorder="1" applyAlignment="1">
      <alignment horizontal="left" wrapText="1"/>
    </xf>
    <xf numFmtId="0" fontId="0" fillId="0" borderId="0" xfId="0" applyAlignment="1">
      <alignment horizontal="center"/>
    </xf>
    <xf numFmtId="3" fontId="0" fillId="0" borderId="0" xfId="0" applyNumberFormat="1" applyAlignment="1">
      <alignment horizontal="center"/>
    </xf>
    <xf numFmtId="0" fontId="2" fillId="3" borderId="1" xfId="0" applyFont="1" applyFill="1" applyBorder="1"/>
    <xf numFmtId="3" fontId="0" fillId="0" borderId="4" xfId="0" applyNumberFormat="1" applyBorder="1" applyAlignment="1">
      <alignment vertical="center"/>
    </xf>
    <xf numFmtId="0" fontId="0" fillId="0" borderId="0" xfId="0" applyAlignment="1">
      <alignment vertical="top"/>
    </xf>
    <xf numFmtId="0" fontId="2" fillId="0" borderId="0" xfId="0" applyFont="1"/>
    <xf numFmtId="0" fontId="10" fillId="0" borderId="0" xfId="3" applyAlignment="1">
      <alignment vertical="center"/>
    </xf>
    <xf numFmtId="0" fontId="3" fillId="2" borderId="5" xfId="0" applyFont="1" applyFill="1" applyBorder="1" applyAlignment="1">
      <alignment horizontal="center" vertical="center" wrapText="1"/>
    </xf>
    <xf numFmtId="0" fontId="3" fillId="2" borderId="5" xfId="0" applyFont="1" applyFill="1" applyBorder="1" applyAlignment="1">
      <alignment horizontal="left" vertical="center" wrapText="1"/>
    </xf>
    <xf numFmtId="0" fontId="3" fillId="2" borderId="6" xfId="0" applyFont="1" applyFill="1" applyBorder="1" applyAlignment="1">
      <alignment horizontal="left" vertical="center" wrapText="1"/>
    </xf>
    <xf numFmtId="0" fontId="3" fillId="2" borderId="6" xfId="0" applyFont="1" applyFill="1" applyBorder="1" applyAlignment="1">
      <alignment horizontal="center" vertical="center" wrapText="1"/>
    </xf>
    <xf numFmtId="9" fontId="3" fillId="2" borderId="5" xfId="0" applyNumberFormat="1" applyFont="1" applyFill="1" applyBorder="1" applyAlignment="1">
      <alignment horizontal="center" vertical="center" wrapText="1"/>
    </xf>
    <xf numFmtId="0" fontId="5" fillId="4" borderId="1" xfId="0" applyFont="1" applyFill="1" applyBorder="1" applyAlignment="1">
      <alignment vertical="center"/>
    </xf>
    <xf numFmtId="0" fontId="5" fillId="5" borderId="1" xfId="0" applyFont="1" applyFill="1" applyBorder="1" applyAlignment="1">
      <alignment vertical="center"/>
    </xf>
    <xf numFmtId="0" fontId="11" fillId="5" borderId="1" xfId="0" applyFont="1" applyFill="1" applyBorder="1" applyAlignment="1">
      <alignment vertical="center"/>
    </xf>
    <xf numFmtId="10" fontId="11" fillId="5" borderId="1" xfId="0" applyNumberFormat="1" applyFont="1" applyFill="1" applyBorder="1" applyAlignment="1">
      <alignment vertical="center"/>
    </xf>
    <xf numFmtId="0" fontId="12" fillId="0" borderId="0" xfId="0" applyFont="1" applyAlignment="1">
      <alignment wrapText="1"/>
    </xf>
    <xf numFmtId="9" fontId="8" fillId="0" borderId="4" xfId="0" quotePrefix="1" applyNumberFormat="1" applyFont="1" applyBorder="1" applyAlignment="1">
      <alignment horizontal="center" vertical="center" wrapText="1"/>
    </xf>
    <xf numFmtId="9" fontId="8" fillId="0" borderId="1" xfId="0" quotePrefix="1" applyNumberFormat="1" applyFont="1" applyBorder="1" applyAlignment="1">
      <alignment horizontal="center" vertical="center" wrapText="1"/>
    </xf>
    <xf numFmtId="5" fontId="8" fillId="0" borderId="1" xfId="0" applyNumberFormat="1" applyFont="1" applyBorder="1" applyAlignment="1">
      <alignment horizontal="center" vertical="center" wrapText="1"/>
    </xf>
    <xf numFmtId="10" fontId="8" fillId="0" borderId="1" xfId="0" quotePrefix="1" applyNumberFormat="1" applyFont="1" applyBorder="1" applyAlignment="1">
      <alignment horizontal="center" vertical="center" wrapText="1"/>
    </xf>
    <xf numFmtId="0" fontId="9" fillId="0" borderId="1" xfId="0" quotePrefix="1" applyFont="1" applyBorder="1" applyAlignment="1">
      <alignment horizontal="left" vertical="center" wrapText="1"/>
    </xf>
    <xf numFmtId="0" fontId="12" fillId="0" borderId="1" xfId="0" applyFont="1" applyBorder="1" applyAlignment="1">
      <alignment wrapText="1"/>
    </xf>
    <xf numFmtId="5" fontId="11" fillId="5" borderId="1" xfId="0" applyNumberFormat="1" applyFont="1" applyFill="1" applyBorder="1" applyAlignment="1">
      <alignment horizontal="center" vertical="center"/>
    </xf>
    <xf numFmtId="0" fontId="9" fillId="5" borderId="1" xfId="0" quotePrefix="1" applyFont="1" applyFill="1" applyBorder="1" applyAlignment="1">
      <alignment horizontal="left" vertical="center" wrapText="1"/>
    </xf>
    <xf numFmtId="0" fontId="0" fillId="5" borderId="1" xfId="0" applyFill="1" applyBorder="1"/>
    <xf numFmtId="0" fontId="8" fillId="0" borderId="0" xfId="0" applyFont="1"/>
    <xf numFmtId="0" fontId="0" fillId="0" borderId="0" xfId="0" applyAlignment="1">
      <alignment horizontal="left"/>
    </xf>
    <xf numFmtId="9" fontId="0" fillId="0" borderId="0" xfId="0" applyNumberFormat="1"/>
    <xf numFmtId="10" fontId="0" fillId="0" borderId="0" xfId="0" applyNumberFormat="1"/>
    <xf numFmtId="0" fontId="6" fillId="2" borderId="1" xfId="0" applyFont="1" applyFill="1" applyBorder="1" applyAlignment="1">
      <alignment horizontal="center" vertical="center" wrapText="1"/>
    </xf>
    <xf numFmtId="0" fontId="13" fillId="3" borderId="1" xfId="0" applyFont="1" applyFill="1" applyBorder="1"/>
    <xf numFmtId="0" fontId="11" fillId="4" borderId="1" xfId="0" applyFont="1" applyFill="1" applyBorder="1" applyAlignment="1">
      <alignment vertical="center"/>
    </xf>
    <xf numFmtId="0" fontId="6" fillId="4" borderId="1" xfId="0" applyFont="1" applyFill="1" applyBorder="1" applyAlignment="1">
      <alignment vertical="center"/>
    </xf>
    <xf numFmtId="0" fontId="11" fillId="0" borderId="0" xfId="0" applyFont="1" applyAlignment="1">
      <alignment vertical="center"/>
    </xf>
    <xf numFmtId="0" fontId="12" fillId="0" borderId="1" xfId="0" applyFont="1" applyBorder="1" applyAlignment="1">
      <alignment vertical="center" wrapText="1"/>
    </xf>
    <xf numFmtId="0" fontId="0" fillId="0" borderId="0" xfId="0" applyAlignment="1">
      <alignment vertical="center" wrapText="1"/>
    </xf>
    <xf numFmtId="0" fontId="12" fillId="0" borderId="1" xfId="0" applyFont="1" applyBorder="1" applyAlignment="1">
      <alignment vertical="center"/>
    </xf>
    <xf numFmtId="0" fontId="12" fillId="0" borderId="0" xfId="0" applyFont="1"/>
    <xf numFmtId="0" fontId="12" fillId="5" borderId="1" xfId="0" applyFont="1" applyFill="1" applyBorder="1" applyAlignment="1">
      <alignment wrapText="1"/>
    </xf>
    <xf numFmtId="3" fontId="8" fillId="5" borderId="1" xfId="0" applyNumberFormat="1" applyFont="1" applyFill="1" applyBorder="1" applyAlignment="1">
      <alignment horizontal="center" vertical="center" wrapText="1"/>
    </xf>
    <xf numFmtId="164" fontId="8" fillId="0" borderId="1" xfId="0" applyNumberFormat="1" applyFont="1" applyBorder="1" applyAlignment="1">
      <alignment horizontal="center" vertical="center" wrapText="1"/>
    </xf>
    <xf numFmtId="0" fontId="11" fillId="4" borderId="7" xfId="0" applyFont="1" applyFill="1" applyBorder="1" applyAlignment="1">
      <alignment vertical="center"/>
    </xf>
    <xf numFmtId="0" fontId="5" fillId="0" borderId="1" xfId="0" applyFont="1" applyBorder="1" applyAlignment="1">
      <alignment horizontal="center" vertical="center"/>
    </xf>
    <xf numFmtId="0" fontId="5" fillId="0" borderId="1" xfId="0" applyFont="1" applyBorder="1" applyAlignment="1">
      <alignment horizontal="left" vertical="center"/>
    </xf>
    <xf numFmtId="0" fontId="11" fillId="4" borderId="7" xfId="0" applyFont="1" applyFill="1" applyBorder="1" applyAlignment="1">
      <alignment vertical="center" wrapText="1"/>
    </xf>
    <xf numFmtId="0" fontId="11" fillId="4" borderId="7" xfId="0" applyFont="1" applyFill="1" applyBorder="1" applyAlignment="1">
      <alignment horizontal="left" vertical="center"/>
    </xf>
    <xf numFmtId="0" fontId="5" fillId="0" borderId="9" xfId="0" applyFont="1" applyBorder="1" applyAlignment="1">
      <alignment horizontal="left" vertical="center"/>
    </xf>
    <xf numFmtId="0" fontId="5" fillId="0" borderId="9" xfId="0" applyFont="1" applyBorder="1" applyAlignment="1">
      <alignment horizontal="left" vertical="center" wrapText="1"/>
    </xf>
    <xf numFmtId="9" fontId="8" fillId="0" borderId="9" xfId="0" quotePrefix="1" applyNumberFormat="1" applyFont="1" applyBorder="1" applyAlignment="1">
      <alignment horizontal="center" vertical="center" wrapText="1"/>
    </xf>
    <xf numFmtId="0" fontId="8" fillId="0" borderId="9" xfId="0" applyFont="1" applyBorder="1" applyAlignment="1">
      <alignment horizontal="center" vertical="center" wrapText="1"/>
    </xf>
    <xf numFmtId="3" fontId="8" fillId="0" borderId="9" xfId="0" applyNumberFormat="1" applyFont="1" applyBorder="1" applyAlignment="1">
      <alignment horizontal="center" vertical="center" wrapText="1"/>
    </xf>
    <xf numFmtId="3" fontId="8" fillId="0" borderId="9" xfId="0" applyNumberFormat="1" applyFont="1" applyBorder="1" applyAlignment="1">
      <alignment horizontal="left" vertical="center" wrapText="1"/>
    </xf>
    <xf numFmtId="0" fontId="5" fillId="0" borderId="2" xfId="0" applyFont="1" applyBorder="1" applyAlignment="1">
      <alignment horizontal="left" vertical="center"/>
    </xf>
    <xf numFmtId="9" fontId="8" fillId="0" borderId="2" xfId="0" quotePrefix="1" applyNumberFormat="1" applyFont="1" applyBorder="1" applyAlignment="1">
      <alignment horizontal="center" vertical="center" wrapText="1"/>
    </xf>
    <xf numFmtId="0" fontId="8" fillId="0" borderId="2" xfId="0" applyFont="1" applyBorder="1" applyAlignment="1">
      <alignment horizontal="center" vertical="center" wrapText="1"/>
    </xf>
    <xf numFmtId="3" fontId="8" fillId="0" borderId="2" xfId="0" applyNumberFormat="1" applyFont="1" applyBorder="1" applyAlignment="1">
      <alignment horizontal="center" vertical="center" wrapText="1"/>
    </xf>
    <xf numFmtId="3" fontId="8" fillId="0" borderId="3" xfId="0" applyNumberFormat="1" applyFont="1" applyBorder="1" applyAlignment="1">
      <alignment horizontal="left" vertical="center" wrapText="1"/>
    </xf>
    <xf numFmtId="0" fontId="8" fillId="0" borderId="1" xfId="0" applyFont="1" applyBorder="1" applyAlignment="1">
      <alignment horizontal="center" vertical="center" wrapText="1"/>
    </xf>
    <xf numFmtId="0" fontId="0" fillId="0" borderId="0" xfId="0" applyAlignment="1">
      <alignment horizontal="left" wrapText="1"/>
    </xf>
    <xf numFmtId="0" fontId="11" fillId="4" borderId="1" xfId="0" applyFont="1" applyFill="1" applyBorder="1" applyAlignment="1">
      <alignment horizontal="center" vertical="center"/>
    </xf>
    <xf numFmtId="0" fontId="12" fillId="0" borderId="1" xfId="0" applyFont="1" applyBorder="1" applyAlignment="1">
      <alignment horizontal="center" vertical="center" wrapText="1"/>
    </xf>
    <xf numFmtId="0" fontId="13" fillId="5" borderId="1" xfId="0" applyFont="1" applyFill="1" applyBorder="1" applyAlignment="1">
      <alignment horizontal="center" vertical="center" wrapText="1"/>
    </xf>
    <xf numFmtId="0" fontId="2" fillId="0" borderId="0" xfId="0" applyFont="1" applyAlignment="1">
      <alignment horizontal="center" vertical="center"/>
    </xf>
    <xf numFmtId="0" fontId="10" fillId="0" borderId="0" xfId="3" applyAlignment="1">
      <alignment horizontal="center" vertical="center"/>
    </xf>
    <xf numFmtId="0" fontId="0" fillId="0" borderId="0" xfId="0" applyAlignment="1">
      <alignment horizontal="center" vertical="center"/>
    </xf>
    <xf numFmtId="0" fontId="3" fillId="2" borderId="10" xfId="0" applyFont="1" applyFill="1" applyBorder="1" applyAlignment="1">
      <alignment vertical="center" wrapText="1"/>
    </xf>
    <xf numFmtId="0" fontId="0" fillId="6" borderId="0" xfId="0" applyFill="1"/>
    <xf numFmtId="0" fontId="2" fillId="6" borderId="0" xfId="0" applyFont="1" applyFill="1"/>
    <xf numFmtId="0" fontId="0" fillId="0" borderId="0" xfId="0" applyAlignment="1">
      <alignment vertical="center"/>
    </xf>
    <xf numFmtId="0" fontId="12" fillId="0" borderId="0" xfId="0" applyFont="1" applyAlignment="1">
      <alignment vertical="center"/>
    </xf>
    <xf numFmtId="0" fontId="5" fillId="4" borderId="4" xfId="0" applyFont="1" applyFill="1" applyBorder="1" applyAlignment="1">
      <alignment vertical="center"/>
    </xf>
    <xf numFmtId="0" fontId="12" fillId="5" borderId="7" xfId="0" applyFont="1" applyFill="1" applyBorder="1" applyAlignment="1">
      <alignment wrapText="1"/>
    </xf>
    <xf numFmtId="0" fontId="0" fillId="5" borderId="7" xfId="0" applyFill="1" applyBorder="1"/>
    <xf numFmtId="0" fontId="14" fillId="0" borderId="0" xfId="0" applyFont="1"/>
    <xf numFmtId="0" fontId="6" fillId="2" borderId="1" xfId="0" applyFont="1" applyFill="1" applyBorder="1" applyAlignment="1">
      <alignment horizontal="left" vertical="center" wrapText="1"/>
    </xf>
    <xf numFmtId="9" fontId="6" fillId="2" borderId="1" xfId="0" applyNumberFormat="1" applyFont="1" applyFill="1" applyBorder="1" applyAlignment="1">
      <alignment horizontal="center" vertical="center" wrapText="1"/>
    </xf>
    <xf numFmtId="0" fontId="12" fillId="0" borderId="0" xfId="0" applyFont="1" applyAlignment="1">
      <alignment horizontal="center"/>
    </xf>
    <xf numFmtId="0" fontId="12" fillId="0" borderId="1" xfId="0" applyFont="1" applyBorder="1" applyAlignment="1">
      <alignment horizontal="center" vertical="center"/>
    </xf>
    <xf numFmtId="0" fontId="16" fillId="0" borderId="0" xfId="0" applyFont="1"/>
    <xf numFmtId="0" fontId="12" fillId="0" borderId="0" xfId="0" applyFont="1" applyAlignment="1">
      <alignment horizontal="center" vertical="center"/>
    </xf>
    <xf numFmtId="0" fontId="12" fillId="0" borderId="0" xfId="0" applyFont="1" applyAlignment="1">
      <alignment horizontal="left" vertical="center"/>
    </xf>
    <xf numFmtId="0" fontId="2" fillId="3" borderId="3" xfId="0" applyFont="1" applyFill="1" applyBorder="1"/>
    <xf numFmtId="0" fontId="2" fillId="0" borderId="0" xfId="0" applyFont="1" applyAlignment="1">
      <alignment horizontal="center"/>
    </xf>
    <xf numFmtId="167" fontId="12" fillId="0" borderId="0" xfId="1" applyNumberFormat="1" applyFont="1"/>
    <xf numFmtId="167" fontId="12" fillId="0" borderId="0" xfId="0" applyNumberFormat="1" applyFont="1"/>
    <xf numFmtId="3" fontId="12" fillId="0" borderId="0" xfId="0" applyNumberFormat="1" applyFont="1"/>
    <xf numFmtId="43" fontId="12" fillId="0" borderId="0" xfId="0" applyNumberFormat="1" applyFont="1"/>
    <xf numFmtId="0" fontId="5" fillId="0" borderId="9" xfId="0" applyFont="1" applyBorder="1" applyAlignment="1">
      <alignment horizontal="center" vertical="center"/>
    </xf>
    <xf numFmtId="0" fontId="9" fillId="0" borderId="9" xfId="0" quotePrefix="1" applyFont="1" applyBorder="1" applyAlignment="1">
      <alignment horizontal="left" vertical="center" wrapText="1"/>
    </xf>
    <xf numFmtId="0" fontId="11" fillId="4" borderId="8" xfId="0" applyFont="1" applyFill="1" applyBorder="1" applyAlignment="1">
      <alignment vertical="center"/>
    </xf>
    <xf numFmtId="0" fontId="0" fillId="0" borderId="0" xfId="0" applyFill="1" applyAlignment="1">
      <alignment horizontal="center" vertical="center"/>
    </xf>
    <xf numFmtId="0" fontId="0" fillId="0" borderId="0" xfId="0" applyFill="1"/>
    <xf numFmtId="0" fontId="12" fillId="0" borderId="0" xfId="0" applyFont="1" applyFill="1" applyAlignment="1">
      <alignment vertical="center"/>
    </xf>
    <xf numFmtId="168" fontId="8" fillId="0" borderId="1" xfId="0" applyNumberFormat="1" applyFont="1" applyBorder="1" applyAlignment="1">
      <alignment horizontal="center" vertical="center" wrapText="1"/>
    </xf>
    <xf numFmtId="0" fontId="12" fillId="0" borderId="1" xfId="0" applyFont="1" applyBorder="1" applyAlignment="1">
      <alignment horizontal="center" wrapText="1"/>
    </xf>
    <xf numFmtId="0" fontId="13" fillId="5" borderId="1" xfId="0" applyFont="1" applyFill="1" applyBorder="1" applyAlignment="1">
      <alignment horizontal="center" wrapText="1"/>
    </xf>
    <xf numFmtId="0" fontId="11" fillId="4" borderId="8" xfId="0" applyFont="1" applyFill="1" applyBorder="1" applyAlignment="1">
      <alignment horizontal="center" vertical="center"/>
    </xf>
    <xf numFmtId="0" fontId="17" fillId="0" borderId="0" xfId="0" applyFont="1" applyAlignment="1"/>
    <xf numFmtId="0" fontId="5" fillId="7" borderId="1" xfId="0" applyFont="1" applyFill="1" applyBorder="1" applyAlignment="1">
      <alignment horizontal="center" vertical="center"/>
    </xf>
    <xf numFmtId="0" fontId="5" fillId="7" borderId="1" xfId="0" applyFont="1" applyFill="1" applyBorder="1" applyAlignment="1">
      <alignment horizontal="left" vertical="center" wrapText="1"/>
    </xf>
    <xf numFmtId="0" fontId="0" fillId="6" borderId="0" xfId="0" applyFill="1" applyAlignment="1">
      <alignment horizontal="left" indent="1"/>
    </xf>
    <xf numFmtId="0" fontId="5" fillId="0" borderId="2" xfId="0" applyFont="1" applyBorder="1" applyAlignment="1">
      <alignment horizontal="center" vertical="center"/>
    </xf>
    <xf numFmtId="0" fontId="6"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6" fillId="4" borderId="8" xfId="0" applyFont="1" applyFill="1" applyBorder="1" applyAlignment="1">
      <alignment vertical="center"/>
    </xf>
    <xf numFmtId="0" fontId="0" fillId="0" borderId="0" xfId="0" applyFill="1" applyAlignment="1">
      <alignment horizontal="left"/>
    </xf>
    <xf numFmtId="0" fontId="12" fillId="0" borderId="1" xfId="0" applyFont="1" applyFill="1" applyBorder="1" applyAlignment="1">
      <alignment horizontal="center" wrapText="1"/>
    </xf>
    <xf numFmtId="0" fontId="12" fillId="0" borderId="1" xfId="0" applyFont="1" applyFill="1" applyBorder="1" applyAlignment="1">
      <alignment wrapText="1"/>
    </xf>
    <xf numFmtId="3" fontId="8" fillId="0" borderId="1" xfId="0" applyNumberFormat="1" applyFont="1" applyFill="1" applyBorder="1" applyAlignment="1">
      <alignment horizontal="center" vertical="center" wrapText="1"/>
    </xf>
    <xf numFmtId="0" fontId="12" fillId="0" borderId="1" xfId="0" applyFont="1" applyFill="1" applyBorder="1" applyAlignment="1">
      <alignment vertical="center" wrapText="1"/>
    </xf>
    <xf numFmtId="168" fontId="8" fillId="0" borderId="1" xfId="0" applyNumberFormat="1" applyFont="1" applyFill="1" applyBorder="1" applyAlignment="1">
      <alignment horizontal="center" vertical="center" wrapText="1"/>
    </xf>
    <xf numFmtId="0" fontId="5" fillId="0" borderId="9" xfId="0" applyFont="1" applyFill="1" applyBorder="1" applyAlignment="1">
      <alignment horizontal="left" vertical="center"/>
    </xf>
    <xf numFmtId="0" fontId="5" fillId="0" borderId="9" xfId="0" applyFont="1" applyFill="1" applyBorder="1" applyAlignment="1">
      <alignment horizontal="left" vertical="center" wrapText="1"/>
    </xf>
    <xf numFmtId="3" fontId="8" fillId="0" borderId="9" xfId="0" applyNumberFormat="1" applyFont="1" applyFill="1" applyBorder="1" applyAlignment="1">
      <alignment horizontal="left" vertical="center" wrapText="1"/>
    </xf>
    <xf numFmtId="0" fontId="9" fillId="0" borderId="9" xfId="0" quotePrefix="1" applyFont="1" applyFill="1" applyBorder="1" applyAlignment="1">
      <alignment horizontal="left" vertical="center" wrapText="1"/>
    </xf>
    <xf numFmtId="0" fontId="9" fillId="0" borderId="1" xfId="0" quotePrefix="1" applyFont="1" applyFill="1" applyBorder="1" applyAlignment="1">
      <alignment horizontal="left" vertical="center" wrapText="1"/>
    </xf>
    <xf numFmtId="0" fontId="5" fillId="0" borderId="1" xfId="0" applyFont="1" applyFill="1" applyBorder="1" applyAlignment="1">
      <alignment horizontal="left" vertical="center"/>
    </xf>
    <xf numFmtId="9" fontId="8" fillId="0" borderId="1" xfId="0" quotePrefix="1"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10" fontId="8" fillId="0" borderId="1" xfId="0" quotePrefix="1" applyNumberFormat="1" applyFont="1" applyFill="1" applyBorder="1" applyAlignment="1">
      <alignment horizontal="center" vertical="center" wrapText="1"/>
    </xf>
    <xf numFmtId="165" fontId="8" fillId="0" borderId="1" xfId="0" quotePrefix="1" applyNumberFormat="1" applyFont="1" applyFill="1" applyBorder="1" applyAlignment="1">
      <alignment horizontal="center" vertical="center" wrapText="1"/>
    </xf>
    <xf numFmtId="3" fontId="8" fillId="0" borderId="1" xfId="0" applyNumberFormat="1" applyFont="1" applyFill="1" applyBorder="1" applyAlignment="1">
      <alignment horizontal="left" vertical="center" wrapText="1"/>
    </xf>
    <xf numFmtId="166" fontId="8" fillId="0" borderId="1" xfId="0" applyNumberFormat="1" applyFont="1" applyFill="1" applyBorder="1" applyAlignment="1">
      <alignment horizontal="center" vertical="center" wrapText="1"/>
    </xf>
    <xf numFmtId="0" fontId="5" fillId="0" borderId="1" xfId="0" applyFont="1" applyFill="1" applyBorder="1" applyAlignment="1">
      <alignment horizontal="left" vertical="center" wrapText="1"/>
    </xf>
    <xf numFmtId="0" fontId="3" fillId="2" borderId="1" xfId="0" applyFont="1" applyFill="1" applyBorder="1" applyAlignment="1">
      <alignment horizontal="left" vertical="center" wrapText="1"/>
    </xf>
    <xf numFmtId="9" fontId="3" fillId="2" borderId="1" xfId="0" applyNumberFormat="1" applyFont="1" applyFill="1" applyBorder="1" applyAlignment="1">
      <alignment horizontal="center" vertical="center" wrapText="1"/>
    </xf>
    <xf numFmtId="10" fontId="3" fillId="2" borderId="1" xfId="0" applyNumberFormat="1" applyFont="1" applyFill="1" applyBorder="1" applyAlignment="1">
      <alignment horizontal="center" vertical="center" wrapText="1"/>
    </xf>
    <xf numFmtId="0" fontId="0" fillId="0" borderId="0" xfId="0" applyFill="1" applyAlignment="1">
      <alignment horizontal="center"/>
    </xf>
    <xf numFmtId="0" fontId="3" fillId="2" borderId="3" xfId="0" applyFont="1" applyFill="1" applyBorder="1" applyAlignment="1">
      <alignment horizontal="center" vertical="center" wrapText="1"/>
    </xf>
    <xf numFmtId="0" fontId="6" fillId="2" borderId="1" xfId="0" applyFont="1" applyFill="1" applyBorder="1" applyAlignment="1">
      <alignment horizontal="center" vertical="center" wrapText="1"/>
    </xf>
    <xf numFmtId="1" fontId="8" fillId="0" borderId="1" xfId="0" applyNumberFormat="1" applyFont="1" applyBorder="1" applyAlignment="1">
      <alignment horizontal="center" vertical="center" wrapText="1"/>
    </xf>
    <xf numFmtId="0" fontId="9" fillId="0" borderId="1" xfId="0" applyFont="1" applyFill="1" applyBorder="1" applyAlignment="1">
      <alignment vertical="top" wrapText="1"/>
    </xf>
    <xf numFmtId="10" fontId="8" fillId="0" borderId="9" xfId="0" quotePrefix="1" applyNumberFormat="1" applyFont="1" applyFill="1" applyBorder="1" applyAlignment="1">
      <alignment horizontal="center" vertical="center" wrapText="1"/>
    </xf>
    <xf numFmtId="10" fontId="8" fillId="0" borderId="2" xfId="0" quotePrefix="1" applyNumberFormat="1" applyFont="1" applyFill="1" applyBorder="1" applyAlignment="1">
      <alignment horizontal="center" vertical="center" wrapText="1"/>
    </xf>
    <xf numFmtId="9" fontId="8" fillId="0" borderId="1" xfId="2" applyFont="1" applyBorder="1" applyAlignment="1">
      <alignment horizontal="center" vertical="center" wrapText="1"/>
    </xf>
    <xf numFmtId="1" fontId="0" fillId="0" borderId="0" xfId="0" applyNumberFormat="1"/>
    <xf numFmtId="1" fontId="12" fillId="0" borderId="0" xfId="0" applyNumberFormat="1" applyFont="1" applyAlignment="1">
      <alignment wrapText="1"/>
    </xf>
    <xf numFmtId="0" fontId="12" fillId="0" borderId="0" xfId="0" applyFont="1" applyFill="1"/>
    <xf numFmtId="0" fontId="5" fillId="0" borderId="1" xfId="0" applyFont="1" applyFill="1" applyBorder="1" applyAlignment="1">
      <alignment horizontal="center" vertical="center" wrapText="1"/>
    </xf>
    <xf numFmtId="9" fontId="5" fillId="0" borderId="1" xfId="0" applyNumberFormat="1" applyFont="1" applyFill="1" applyBorder="1" applyAlignment="1">
      <alignment horizontal="center" vertical="center" wrapText="1"/>
    </xf>
    <xf numFmtId="9" fontId="12" fillId="0" borderId="0" xfId="2" applyFont="1"/>
    <xf numFmtId="9" fontId="6" fillId="2" borderId="1" xfId="2" applyFont="1" applyFill="1" applyBorder="1" applyAlignment="1">
      <alignment horizontal="center" vertical="center" wrapText="1"/>
    </xf>
    <xf numFmtId="9" fontId="5" fillId="0" borderId="1" xfId="2" applyFont="1" applyFill="1" applyBorder="1" applyAlignment="1">
      <alignment horizontal="center" vertical="center" wrapText="1"/>
    </xf>
    <xf numFmtId="166" fontId="5" fillId="0" borderId="1" xfId="0" applyNumberFormat="1" applyFont="1" applyFill="1" applyBorder="1" applyAlignment="1">
      <alignment horizontal="center" vertical="center" wrapText="1"/>
    </xf>
    <xf numFmtId="165" fontId="5" fillId="0" borderId="1" xfId="2" applyNumberFormat="1" applyFont="1" applyFill="1" applyBorder="1" applyAlignment="1">
      <alignment horizontal="center" vertical="center" wrapText="1"/>
    </xf>
    <xf numFmtId="0" fontId="5" fillId="7" borderId="1" xfId="0" applyFont="1" applyFill="1" applyBorder="1" applyAlignment="1">
      <alignment horizontal="center" vertical="center" wrapText="1"/>
    </xf>
    <xf numFmtId="9" fontId="5" fillId="7" borderId="1" xfId="2" applyFont="1" applyFill="1" applyBorder="1" applyAlignment="1">
      <alignment horizontal="center" vertical="center" wrapText="1"/>
    </xf>
    <xf numFmtId="9" fontId="5" fillId="7" borderId="1" xfId="0" applyNumberFormat="1" applyFont="1" applyFill="1" applyBorder="1" applyAlignment="1">
      <alignment horizontal="center" vertical="center" wrapText="1"/>
    </xf>
    <xf numFmtId="166" fontId="5" fillId="7" borderId="1" xfId="0" applyNumberFormat="1" applyFont="1" applyFill="1" applyBorder="1" applyAlignment="1">
      <alignment horizontal="center" vertical="center" wrapText="1"/>
    </xf>
    <xf numFmtId="165" fontId="5" fillId="7" borderId="1" xfId="2" applyNumberFormat="1" applyFont="1" applyFill="1" applyBorder="1" applyAlignment="1">
      <alignment horizontal="center" vertical="center" wrapText="1"/>
    </xf>
    <xf numFmtId="0" fontId="12" fillId="7" borderId="0" xfId="0" applyFont="1" applyFill="1"/>
    <xf numFmtId="0" fontId="12" fillId="7" borderId="1" xfId="0" applyFont="1" applyFill="1" applyBorder="1" applyAlignment="1">
      <alignment horizontal="center" vertical="center"/>
    </xf>
    <xf numFmtId="0" fontId="5" fillId="7" borderId="1" xfId="0" applyFont="1" applyFill="1" applyBorder="1" applyAlignment="1">
      <alignment vertical="center" wrapText="1"/>
    </xf>
    <xf numFmtId="3" fontId="5" fillId="0" borderId="1" xfId="0" applyNumberFormat="1" applyFont="1" applyFill="1" applyBorder="1" applyAlignment="1">
      <alignment horizontal="center" vertical="center" wrapText="1"/>
    </xf>
    <xf numFmtId="3" fontId="5" fillId="7" borderId="1" xfId="0" applyNumberFormat="1" applyFont="1" applyFill="1" applyBorder="1" applyAlignment="1">
      <alignment horizontal="center" vertical="center" wrapText="1"/>
    </xf>
    <xf numFmtId="0" fontId="18" fillId="0" borderId="0" xfId="0" applyFont="1" applyFill="1"/>
    <xf numFmtId="0" fontId="19" fillId="6" borderId="0" xfId="0" applyFont="1" applyFill="1"/>
    <xf numFmtId="0" fontId="8" fillId="7" borderId="1" xfId="0" applyFont="1" applyFill="1" applyBorder="1" applyAlignment="1">
      <alignment horizontal="center" vertical="center" wrapText="1"/>
    </xf>
    <xf numFmtId="0" fontId="0" fillId="0" borderId="0" xfId="0" applyAlignment="1">
      <alignment wrapText="1"/>
    </xf>
    <xf numFmtId="0" fontId="2" fillId="0" borderId="0" xfId="0" applyFont="1" applyAlignment="1">
      <alignment wrapText="1"/>
    </xf>
    <xf numFmtId="0" fontId="12" fillId="0" borderId="0" xfId="0" applyFont="1" applyBorder="1" applyAlignment="1">
      <alignment vertical="center"/>
    </xf>
    <xf numFmtId="0" fontId="5" fillId="0" borderId="0" xfId="0" applyFont="1" applyBorder="1" applyAlignment="1">
      <alignment horizontal="center" vertical="center" wrapText="1"/>
    </xf>
    <xf numFmtId="0" fontId="5" fillId="0" borderId="0" xfId="0" applyFont="1" applyBorder="1" applyAlignment="1">
      <alignment vertical="center" wrapText="1"/>
    </xf>
    <xf numFmtId="3" fontId="8" fillId="0" borderId="0" xfId="0" applyNumberFormat="1" applyFont="1" applyBorder="1" applyAlignment="1">
      <alignment horizontal="center" vertical="center" wrapText="1"/>
    </xf>
    <xf numFmtId="0" fontId="9" fillId="0" borderId="0" xfId="0" quotePrefix="1" applyFont="1" applyBorder="1" applyAlignment="1">
      <alignment horizontal="left" vertical="center" wrapText="1"/>
    </xf>
    <xf numFmtId="0" fontId="0" fillId="0" borderId="0" xfId="0" applyBorder="1"/>
    <xf numFmtId="1" fontId="0" fillId="0" borderId="0" xfId="0" applyNumberFormat="1" applyBorder="1"/>
    <xf numFmtId="0" fontId="12" fillId="0" borderId="0" xfId="0" applyFont="1" applyBorder="1" applyAlignment="1">
      <alignment vertical="center" wrapText="1"/>
    </xf>
    <xf numFmtId="0" fontId="12" fillId="0" borderId="0" xfId="0" applyFont="1" applyBorder="1" applyAlignment="1">
      <alignment wrapText="1"/>
    </xf>
    <xf numFmtId="0" fontId="21" fillId="0" borderId="1" xfId="0" applyFont="1" applyFill="1" applyBorder="1" applyAlignment="1">
      <alignment vertical="top" wrapText="1"/>
    </xf>
    <xf numFmtId="0" fontId="20" fillId="0" borderId="0" xfId="4"/>
    <xf numFmtId="0" fontId="20" fillId="0" borderId="0" xfId="4" applyFill="1"/>
    <xf numFmtId="0" fontId="22" fillId="0" borderId="0" xfId="0" applyFont="1"/>
    <xf numFmtId="0" fontId="23" fillId="0" borderId="0" xfId="0" applyFont="1" applyAlignment="1"/>
    <xf numFmtId="0" fontId="23" fillId="0" borderId="0" xfId="0" applyFont="1" applyAlignment="1">
      <alignment wrapText="1"/>
    </xf>
    <xf numFmtId="5" fontId="22" fillId="0" borderId="0" xfId="0" applyNumberFormat="1" applyFont="1"/>
    <xf numFmtId="0" fontId="22" fillId="0" borderId="0" xfId="0" applyFont="1" applyBorder="1"/>
    <xf numFmtId="5" fontId="22" fillId="0" borderId="0" xfId="0" applyNumberFormat="1" applyFont="1" applyAlignment="1"/>
    <xf numFmtId="0" fontId="10" fillId="0" borderId="1" xfId="3" applyBorder="1" applyAlignment="1">
      <alignment vertical="center"/>
    </xf>
    <xf numFmtId="0" fontId="10" fillId="0" borderId="1" xfId="3" applyFill="1" applyBorder="1" applyAlignment="1">
      <alignment vertical="center"/>
    </xf>
    <xf numFmtId="0" fontId="10" fillId="0" borderId="1" xfId="3" quotePrefix="1" applyBorder="1" applyAlignment="1">
      <alignment horizontal="left" vertical="center"/>
    </xf>
    <xf numFmtId="0" fontId="10" fillId="5" borderId="1" xfId="3" quotePrefix="1" applyFill="1" applyBorder="1" applyAlignment="1">
      <alignment horizontal="left" vertical="center" wrapText="1"/>
    </xf>
    <xf numFmtId="0" fontId="10" fillId="4" borderId="1" xfId="3" applyFill="1" applyBorder="1" applyAlignment="1">
      <alignment vertical="center"/>
    </xf>
    <xf numFmtId="0" fontId="10" fillId="0" borderId="1" xfId="3" quotePrefix="1" applyFill="1" applyBorder="1" applyAlignment="1">
      <alignment horizontal="left" vertical="center"/>
    </xf>
    <xf numFmtId="0" fontId="10" fillId="0" borderId="0" xfId="3" applyFill="1" applyAlignment="1"/>
    <xf numFmtId="0" fontId="24" fillId="0" borderId="0" xfId="0" applyFont="1" applyFill="1"/>
    <xf numFmtId="0" fontId="24" fillId="0" borderId="0" xfId="0" applyFont="1"/>
    <xf numFmtId="0" fontId="0" fillId="7" borderId="0" xfId="0" applyFill="1"/>
    <xf numFmtId="0" fontId="6" fillId="2" borderId="1"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6" fillId="2" borderId="12" xfId="0" applyFont="1" applyFill="1" applyBorder="1" applyAlignment="1">
      <alignment horizontal="center" vertical="center" wrapText="1"/>
    </xf>
    <xf numFmtId="0" fontId="6" fillId="2" borderId="1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15" fillId="0" borderId="13" xfId="0" applyFont="1" applyBorder="1" applyAlignment="1">
      <alignment horizontal="left" vertical="center" wrapText="1"/>
    </xf>
    <xf numFmtId="0" fontId="12" fillId="0" borderId="0" xfId="0" applyFont="1" applyAlignment="1">
      <alignment horizontal="left" vertical="top" wrapText="1"/>
    </xf>
    <xf numFmtId="0" fontId="2" fillId="0" borderId="0" xfId="0" applyFont="1" applyAlignment="1">
      <alignment horizontal="center"/>
    </xf>
  </cellXfs>
  <cellStyles count="5">
    <cellStyle name="Comma" xfId="1" builtinId="3"/>
    <cellStyle name="Explanatory Text" xfId="4" builtinId="53"/>
    <cellStyle name="Hyperlink" xfId="3" builtinId="8"/>
    <cellStyle name="Normal" xfId="0" builtinId="0"/>
    <cellStyle name="Percent" xfId="2" builtinId="5"/>
  </cellStyles>
  <dxfs count="17">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numFmt numFmtId="169" formatCode="0.000"/>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ont>
        <color theme="0"/>
      </font>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xdr:col>
      <xdr:colOff>3048</xdr:colOff>
      <xdr:row>15</xdr:row>
      <xdr:rowOff>66445</xdr:rowOff>
    </xdr:from>
    <xdr:to>
      <xdr:col>4</xdr:col>
      <xdr:colOff>269748</xdr:colOff>
      <xdr:row>30</xdr:row>
      <xdr:rowOff>144780</xdr:rowOff>
    </xdr:to>
    <xdr:sp macro="" textlink="">
      <xdr:nvSpPr>
        <xdr:cNvPr id="2" name="TextBox 1">
          <a:extLst>
            <a:ext uri="{FF2B5EF4-FFF2-40B4-BE49-F238E27FC236}">
              <a16:creationId xmlns:a16="http://schemas.microsoft.com/office/drawing/2014/main" id="{741CFE88-1342-4074-8C3F-B51E5FA7B310}"/>
            </a:ext>
          </a:extLst>
        </xdr:cNvPr>
        <xdr:cNvSpPr txBox="1"/>
      </xdr:nvSpPr>
      <xdr:spPr>
        <a:xfrm>
          <a:off x="612648" y="2078125"/>
          <a:ext cx="7536180" cy="2821535"/>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1"/>
            <a:t>Notes/Guidance:</a:t>
          </a:r>
        </a:p>
        <a:p>
          <a:endParaRPr lang="en-US" sz="1200"/>
        </a:p>
        <a:p>
          <a:r>
            <a:rPr lang="en-US" sz="1200"/>
            <a:t>For control options included in the master list, existing literature was reviewed to</a:t>
          </a:r>
          <a:r>
            <a:rPr lang="en-US" sz="1200" baseline="0"/>
            <a:t> populate screening criteria (see tabs </a:t>
          </a:r>
          <a:r>
            <a:rPr lang="en-US" sz="1200" i="1" baseline="0"/>
            <a:t>*_options</a:t>
          </a:r>
          <a:r>
            <a:rPr lang="en-US" sz="1200" baseline="0"/>
            <a:t>).  In the case that a data field was not able to be populated for a specific data field, "NA" is noted on the screening table.</a:t>
          </a:r>
        </a:p>
        <a:p>
          <a:endParaRPr lang="en-US" sz="1200" baseline="0"/>
        </a:p>
        <a:p>
          <a:r>
            <a:rPr lang="en-US" sz="1200" baseline="0"/>
            <a:t>A shortlist of control options were identified based on the the most cost-effective and emission reducing measures in each sector: point, nonpoint, and mobile.  The top ten control options a) by cost-effectiveness and b) by emission reductions were included on the shorlist for each sector. Ramboll also selected ten additional options for inclusion on the shortlist based on engineering judgement for measures deemed to be potential candidates based on an emerging and/or reliable control option.</a:t>
          </a:r>
        </a:p>
        <a:p>
          <a:endParaRPr lang="en-US" sz="1200" baseline="0"/>
        </a:p>
        <a:p>
          <a:r>
            <a:rPr lang="en-US" sz="1200" baseline="0"/>
            <a:t>Not all measures on the shortlist will be evaluated in detail in the white papers.  LADCO should consider 10-15 measures for additional detailed evaluation.</a:t>
          </a:r>
          <a:endParaRPr lang="en-US" sz="12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35F51C-951A-4E93-8F42-4233300EF504}">
  <dimension ref="B1:C15"/>
  <sheetViews>
    <sheetView tabSelected="1" workbookViewId="0"/>
  </sheetViews>
  <sheetFormatPr defaultColWidth="8.8984375" defaultRowHeight="14.4" x14ac:dyDescent="0.3"/>
  <cols>
    <col min="1" max="1" width="8.8984375" style="81"/>
    <col min="2" max="2" width="23.296875" style="81" bestFit="1" customWidth="1"/>
    <col min="3" max="3" width="73.796875" style="81" customWidth="1"/>
    <col min="4" max="16384" width="8.8984375" style="81"/>
  </cols>
  <sheetData>
    <row r="1" spans="2:3" x14ac:dyDescent="0.3">
      <c r="B1" s="170" t="s">
        <v>339</v>
      </c>
      <c r="C1" s="106"/>
    </row>
    <row r="2" spans="2:3" x14ac:dyDescent="0.3">
      <c r="B2" s="171" t="s">
        <v>341</v>
      </c>
      <c r="C2" s="115"/>
    </row>
    <row r="3" spans="2:3" x14ac:dyDescent="0.3">
      <c r="B3" s="171" t="s">
        <v>340</v>
      </c>
      <c r="C3" s="115"/>
    </row>
    <row r="4" spans="2:3" x14ac:dyDescent="0.3">
      <c r="B4" s="171" t="s">
        <v>347</v>
      </c>
      <c r="C4" s="115"/>
    </row>
    <row r="5" spans="2:3" x14ac:dyDescent="0.3">
      <c r="B5" s="171" t="s">
        <v>348</v>
      </c>
      <c r="C5" s="115"/>
    </row>
    <row r="7" spans="2:3" x14ac:dyDescent="0.3">
      <c r="B7" s="82" t="s">
        <v>224</v>
      </c>
      <c r="C7" s="82" t="s">
        <v>225</v>
      </c>
    </row>
    <row r="8" spans="2:3" x14ac:dyDescent="0.3">
      <c r="B8" s="81" t="s">
        <v>240</v>
      </c>
      <c r="C8" s="81" t="s">
        <v>226</v>
      </c>
    </row>
    <row r="9" spans="2:3" x14ac:dyDescent="0.3">
      <c r="B9" s="81" t="s">
        <v>222</v>
      </c>
      <c r="C9" s="81" t="s">
        <v>229</v>
      </c>
    </row>
    <row r="10" spans="2:3" x14ac:dyDescent="0.3">
      <c r="B10" s="81" t="s">
        <v>279</v>
      </c>
      <c r="C10" s="81" t="s">
        <v>227</v>
      </c>
    </row>
    <row r="11" spans="2:3" x14ac:dyDescent="0.3">
      <c r="B11" s="81" t="s">
        <v>280</v>
      </c>
      <c r="C11" s="81" t="s">
        <v>230</v>
      </c>
    </row>
    <row r="12" spans="2:3" x14ac:dyDescent="0.3">
      <c r="B12" s="81" t="s">
        <v>241</v>
      </c>
      <c r="C12" s="81" t="s">
        <v>228</v>
      </c>
    </row>
    <row r="13" spans="2:3" x14ac:dyDescent="0.3">
      <c r="B13" s="81" t="s">
        <v>223</v>
      </c>
      <c r="C13" s="81" t="s">
        <v>231</v>
      </c>
    </row>
    <row r="14" spans="2:3" x14ac:dyDescent="0.3">
      <c r="B14" s="81" t="s">
        <v>258</v>
      </c>
      <c r="C14" s="81" t="s">
        <v>277</v>
      </c>
    </row>
    <row r="15" spans="2:3" x14ac:dyDescent="0.3">
      <c r="B15" s="81" t="s">
        <v>259</v>
      </c>
      <c r="C15" s="81" t="s">
        <v>278</v>
      </c>
    </row>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551ACE-07C9-444D-B0DD-8B79547B73B7}">
  <dimension ref="A1:H77"/>
  <sheetViews>
    <sheetView topLeftCell="A2" workbookViewId="0">
      <selection activeCell="H24" sqref="H24"/>
    </sheetView>
  </sheetViews>
  <sheetFormatPr defaultRowHeight="14.4" x14ac:dyDescent="0.3"/>
  <cols>
    <col min="1" max="1" width="18.3984375" bestFit="1" customWidth="1"/>
    <col min="2" max="2" width="10.296875" bestFit="1" customWidth="1"/>
    <col min="3" max="3" width="14.69921875" bestFit="1" customWidth="1"/>
  </cols>
  <sheetData>
    <row r="1" spans="1:8" x14ac:dyDescent="0.3">
      <c r="A1" s="19" t="s">
        <v>239</v>
      </c>
    </row>
    <row r="3" spans="1:8" x14ac:dyDescent="0.3">
      <c r="A3" s="19" t="s">
        <v>303</v>
      </c>
      <c r="B3" s="19" t="s">
        <v>237</v>
      </c>
      <c r="C3" s="19" t="s">
        <v>304</v>
      </c>
      <c r="E3" s="19" t="s">
        <v>362</v>
      </c>
    </row>
    <row r="4" spans="1:8" x14ac:dyDescent="0.3">
      <c r="A4" s="212" t="s">
        <v>234</v>
      </c>
      <c r="B4" s="212"/>
      <c r="C4" s="212"/>
      <c r="E4" t="s">
        <v>155</v>
      </c>
      <c r="F4" t="s">
        <v>12</v>
      </c>
      <c r="G4" t="s">
        <v>315</v>
      </c>
      <c r="H4" t="s">
        <v>236</v>
      </c>
    </row>
    <row r="5" spans="1:8" x14ac:dyDescent="0.3">
      <c r="A5" t="s">
        <v>152</v>
      </c>
      <c r="B5" t="s">
        <v>236</v>
      </c>
      <c r="C5" t="s">
        <v>250</v>
      </c>
      <c r="E5" t="s">
        <v>114</v>
      </c>
      <c r="F5" t="s">
        <v>53</v>
      </c>
      <c r="G5" t="s">
        <v>316</v>
      </c>
      <c r="H5" t="s">
        <v>235</v>
      </c>
    </row>
    <row r="6" spans="1:8" x14ac:dyDescent="0.3">
      <c r="A6" t="s">
        <v>149</v>
      </c>
      <c r="B6" t="s">
        <v>236</v>
      </c>
      <c r="C6" t="s">
        <v>250</v>
      </c>
      <c r="E6" t="s">
        <v>113</v>
      </c>
      <c r="F6" t="s">
        <v>53</v>
      </c>
      <c r="G6" t="s">
        <v>317</v>
      </c>
      <c r="H6" t="s">
        <v>235</v>
      </c>
    </row>
    <row r="7" spans="1:8" x14ac:dyDescent="0.3">
      <c r="A7" t="s">
        <v>201</v>
      </c>
      <c r="B7" t="s">
        <v>236</v>
      </c>
      <c r="C7" t="s">
        <v>250</v>
      </c>
      <c r="E7" t="s">
        <v>101</v>
      </c>
      <c r="F7" t="s">
        <v>53</v>
      </c>
      <c r="G7" t="s">
        <v>318</v>
      </c>
      <c r="H7" t="s">
        <v>236</v>
      </c>
    </row>
    <row r="8" spans="1:8" x14ac:dyDescent="0.3">
      <c r="A8" t="s">
        <v>190</v>
      </c>
      <c r="B8" t="s">
        <v>236</v>
      </c>
      <c r="C8" t="s">
        <v>250</v>
      </c>
      <c r="E8" t="s">
        <v>90</v>
      </c>
      <c r="F8" t="s">
        <v>12</v>
      </c>
      <c r="G8" t="s">
        <v>319</v>
      </c>
      <c r="H8" t="s">
        <v>236</v>
      </c>
    </row>
    <row r="9" spans="1:8" x14ac:dyDescent="0.3">
      <c r="A9" t="s">
        <v>203</v>
      </c>
      <c r="B9" t="s">
        <v>236</v>
      </c>
      <c r="C9" t="s">
        <v>250</v>
      </c>
      <c r="E9" t="s">
        <v>99</v>
      </c>
      <c r="F9" t="s">
        <v>53</v>
      </c>
      <c r="G9" t="s">
        <v>320</v>
      </c>
      <c r="H9" t="s">
        <v>236</v>
      </c>
    </row>
    <row r="10" spans="1:8" x14ac:dyDescent="0.3">
      <c r="A10" t="s">
        <v>163</v>
      </c>
      <c r="B10" t="s">
        <v>236</v>
      </c>
      <c r="C10" t="s">
        <v>250</v>
      </c>
      <c r="E10" t="s">
        <v>98</v>
      </c>
      <c r="F10" t="s">
        <v>53</v>
      </c>
      <c r="G10" t="s">
        <v>321</v>
      </c>
      <c r="H10" t="s">
        <v>236</v>
      </c>
    </row>
    <row r="11" spans="1:8" x14ac:dyDescent="0.3">
      <c r="A11" t="s">
        <v>166</v>
      </c>
      <c r="B11" t="s">
        <v>236</v>
      </c>
      <c r="C11" t="s">
        <v>250</v>
      </c>
      <c r="E11" t="s">
        <v>40</v>
      </c>
      <c r="F11" t="s">
        <v>12</v>
      </c>
      <c r="G11" t="s">
        <v>322</v>
      </c>
      <c r="H11" t="s">
        <v>235</v>
      </c>
    </row>
    <row r="12" spans="1:8" x14ac:dyDescent="0.3">
      <c r="A12" t="s">
        <v>156</v>
      </c>
      <c r="B12" t="s">
        <v>236</v>
      </c>
      <c r="C12" t="s">
        <v>250</v>
      </c>
      <c r="E12" t="s">
        <v>41</v>
      </c>
      <c r="F12" t="s">
        <v>12</v>
      </c>
      <c r="G12" t="s">
        <v>323</v>
      </c>
      <c r="H12" t="s">
        <v>235</v>
      </c>
    </row>
    <row r="13" spans="1:8" x14ac:dyDescent="0.3">
      <c r="A13" t="s">
        <v>175</v>
      </c>
      <c r="B13" t="s">
        <v>236</v>
      </c>
      <c r="C13" t="s">
        <v>250</v>
      </c>
      <c r="E13" t="s">
        <v>50</v>
      </c>
      <c r="F13" t="s">
        <v>12</v>
      </c>
      <c r="G13" t="s">
        <v>324</v>
      </c>
      <c r="H13" t="s">
        <v>236</v>
      </c>
    </row>
    <row r="14" spans="1:8" x14ac:dyDescent="0.3">
      <c r="A14" t="s">
        <v>204</v>
      </c>
      <c r="B14" t="s">
        <v>236</v>
      </c>
      <c r="C14" t="s">
        <v>250</v>
      </c>
      <c r="E14" t="s">
        <v>19</v>
      </c>
      <c r="F14" t="s">
        <v>12</v>
      </c>
      <c r="G14" t="s">
        <v>325</v>
      </c>
      <c r="H14" t="s">
        <v>236</v>
      </c>
    </row>
    <row r="15" spans="1:8" x14ac:dyDescent="0.3">
      <c r="A15" s="202" t="s">
        <v>202</v>
      </c>
      <c r="B15" s="202" t="s">
        <v>236</v>
      </c>
      <c r="C15" s="202" t="s">
        <v>250</v>
      </c>
    </row>
    <row r="16" spans="1:8" x14ac:dyDescent="0.3">
      <c r="A16" t="s">
        <v>175</v>
      </c>
      <c r="B16" t="s">
        <v>305</v>
      </c>
      <c r="C16" t="s">
        <v>250</v>
      </c>
    </row>
    <row r="17" spans="1:7" x14ac:dyDescent="0.3">
      <c r="A17" t="s">
        <v>180</v>
      </c>
      <c r="B17" t="s">
        <v>305</v>
      </c>
      <c r="C17" t="s">
        <v>250</v>
      </c>
      <c r="E17" s="19" t="s">
        <v>363</v>
      </c>
    </row>
    <row r="18" spans="1:7" x14ac:dyDescent="0.3">
      <c r="A18" t="s">
        <v>206</v>
      </c>
      <c r="B18" t="s">
        <v>305</v>
      </c>
      <c r="C18" t="s">
        <v>250</v>
      </c>
      <c r="E18" t="s">
        <v>308</v>
      </c>
      <c r="F18" t="s">
        <v>236</v>
      </c>
      <c r="G18" t="s">
        <v>306</v>
      </c>
    </row>
    <row r="19" spans="1:7" x14ac:dyDescent="0.3">
      <c r="A19" t="s">
        <v>205</v>
      </c>
      <c r="B19" t="s">
        <v>305</v>
      </c>
      <c r="C19" t="s">
        <v>250</v>
      </c>
      <c r="E19" t="s">
        <v>309</v>
      </c>
      <c r="F19" t="s">
        <v>236</v>
      </c>
      <c r="G19" t="s">
        <v>306</v>
      </c>
    </row>
    <row r="20" spans="1:7" x14ac:dyDescent="0.3">
      <c r="A20" t="s">
        <v>193</v>
      </c>
      <c r="B20" t="s">
        <v>305</v>
      </c>
      <c r="C20" t="s">
        <v>250</v>
      </c>
      <c r="E20" t="s">
        <v>310</v>
      </c>
      <c r="F20" t="s">
        <v>236</v>
      </c>
      <c r="G20" t="s">
        <v>306</v>
      </c>
    </row>
    <row r="21" spans="1:7" x14ac:dyDescent="0.3">
      <c r="A21" t="s">
        <v>209</v>
      </c>
      <c r="B21" t="s">
        <v>305</v>
      </c>
      <c r="C21" t="s">
        <v>250</v>
      </c>
      <c r="E21" t="s">
        <v>311</v>
      </c>
      <c r="F21" t="s">
        <v>236</v>
      </c>
      <c r="G21" t="s">
        <v>306</v>
      </c>
    </row>
    <row r="22" spans="1:7" x14ac:dyDescent="0.3">
      <c r="A22" t="s">
        <v>170</v>
      </c>
      <c r="B22" t="s">
        <v>305</v>
      </c>
      <c r="C22" t="s">
        <v>250</v>
      </c>
      <c r="E22" t="s">
        <v>312</v>
      </c>
      <c r="F22" t="s">
        <v>235</v>
      </c>
      <c r="G22" t="s">
        <v>306</v>
      </c>
    </row>
    <row r="23" spans="1:7" x14ac:dyDescent="0.3">
      <c r="A23" t="s">
        <v>172</v>
      </c>
      <c r="B23" t="s">
        <v>305</v>
      </c>
      <c r="C23" t="s">
        <v>250</v>
      </c>
      <c r="E23" t="s">
        <v>313</v>
      </c>
      <c r="F23" t="s">
        <v>236</v>
      </c>
      <c r="G23" t="s">
        <v>306</v>
      </c>
    </row>
    <row r="24" spans="1:7" x14ac:dyDescent="0.3">
      <c r="A24" t="s">
        <v>200</v>
      </c>
      <c r="B24" t="s">
        <v>305</v>
      </c>
      <c r="C24" t="s">
        <v>250</v>
      </c>
      <c r="E24" t="s">
        <v>314</v>
      </c>
      <c r="F24" t="s">
        <v>236</v>
      </c>
      <c r="G24" t="s">
        <v>306</v>
      </c>
    </row>
    <row r="25" spans="1:7" x14ac:dyDescent="0.3">
      <c r="A25" t="s">
        <v>152</v>
      </c>
      <c r="B25" t="s">
        <v>305</v>
      </c>
      <c r="C25" t="s">
        <v>250</v>
      </c>
      <c r="E25" t="s">
        <v>364</v>
      </c>
      <c r="F25" t="s">
        <v>236</v>
      </c>
      <c r="G25" t="s">
        <v>306</v>
      </c>
    </row>
    <row r="26" spans="1:7" x14ac:dyDescent="0.3">
      <c r="A26" t="s">
        <v>160</v>
      </c>
      <c r="B26" t="s">
        <v>307</v>
      </c>
      <c r="C26" t="s">
        <v>250</v>
      </c>
    </row>
    <row r="27" spans="1:7" x14ac:dyDescent="0.3">
      <c r="A27" t="s">
        <v>183</v>
      </c>
      <c r="B27" t="s">
        <v>307</v>
      </c>
      <c r="C27" t="s">
        <v>250</v>
      </c>
    </row>
    <row r="28" spans="1:7" x14ac:dyDescent="0.3">
      <c r="A28" t="s">
        <v>185</v>
      </c>
      <c r="B28" t="s">
        <v>307</v>
      </c>
      <c r="C28" t="s">
        <v>250</v>
      </c>
    </row>
    <row r="29" spans="1:7" x14ac:dyDescent="0.3">
      <c r="A29" t="s">
        <v>187</v>
      </c>
      <c r="B29" t="s">
        <v>307</v>
      </c>
      <c r="C29" t="s">
        <v>250</v>
      </c>
    </row>
    <row r="30" spans="1:7" x14ac:dyDescent="0.3">
      <c r="A30" t="s">
        <v>189</v>
      </c>
      <c r="B30" t="s">
        <v>307</v>
      </c>
      <c r="C30" t="s">
        <v>250</v>
      </c>
    </row>
    <row r="31" spans="1:7" x14ac:dyDescent="0.3">
      <c r="A31" t="s">
        <v>196</v>
      </c>
      <c r="B31" t="s">
        <v>307</v>
      </c>
      <c r="C31" t="s">
        <v>250</v>
      </c>
    </row>
    <row r="32" spans="1:7" x14ac:dyDescent="0.3">
      <c r="A32" t="s">
        <v>146</v>
      </c>
      <c r="B32" t="s">
        <v>307</v>
      </c>
      <c r="C32" t="s">
        <v>250</v>
      </c>
    </row>
    <row r="33" spans="1:3" x14ac:dyDescent="0.3">
      <c r="A33" s="212" t="s">
        <v>232</v>
      </c>
      <c r="B33" s="212"/>
      <c r="C33" s="212"/>
    </row>
    <row r="34" spans="1:3" x14ac:dyDescent="0.3">
      <c r="A34" t="s">
        <v>102</v>
      </c>
      <c r="B34" t="s">
        <v>236</v>
      </c>
      <c r="C34" t="s">
        <v>250</v>
      </c>
    </row>
    <row r="35" spans="1:3" x14ac:dyDescent="0.3">
      <c r="A35" t="s">
        <v>308</v>
      </c>
      <c r="B35" t="s">
        <v>236</v>
      </c>
      <c r="C35" t="s">
        <v>306</v>
      </c>
    </row>
    <row r="36" spans="1:3" x14ac:dyDescent="0.3">
      <c r="A36" t="s">
        <v>134</v>
      </c>
      <c r="B36" t="s">
        <v>236</v>
      </c>
      <c r="C36" t="s">
        <v>250</v>
      </c>
    </row>
    <row r="37" spans="1:3" x14ac:dyDescent="0.3">
      <c r="A37" t="s">
        <v>136</v>
      </c>
      <c r="B37" t="s">
        <v>236</v>
      </c>
      <c r="C37" t="s">
        <v>250</v>
      </c>
    </row>
    <row r="38" spans="1:3" x14ac:dyDescent="0.3">
      <c r="A38" t="s">
        <v>87</v>
      </c>
      <c r="B38" t="s">
        <v>236</v>
      </c>
      <c r="C38" t="s">
        <v>250</v>
      </c>
    </row>
    <row r="39" spans="1:3" x14ac:dyDescent="0.3">
      <c r="A39" t="s">
        <v>309</v>
      </c>
      <c r="B39" t="s">
        <v>236</v>
      </c>
      <c r="C39" t="s">
        <v>306</v>
      </c>
    </row>
    <row r="40" spans="1:3" x14ac:dyDescent="0.3">
      <c r="A40" t="s">
        <v>310</v>
      </c>
      <c r="B40" t="s">
        <v>236</v>
      </c>
      <c r="C40" t="s">
        <v>306</v>
      </c>
    </row>
    <row r="41" spans="1:3" x14ac:dyDescent="0.3">
      <c r="A41" t="s">
        <v>81</v>
      </c>
      <c r="B41" t="s">
        <v>236</v>
      </c>
      <c r="C41" t="s">
        <v>250</v>
      </c>
    </row>
    <row r="42" spans="1:3" x14ac:dyDescent="0.3">
      <c r="A42" t="s">
        <v>84</v>
      </c>
      <c r="B42" t="s">
        <v>236</v>
      </c>
      <c r="C42" t="s">
        <v>250</v>
      </c>
    </row>
    <row r="43" spans="1:3" x14ac:dyDescent="0.3">
      <c r="A43" t="s">
        <v>311</v>
      </c>
      <c r="B43" t="s">
        <v>236</v>
      </c>
      <c r="C43" t="s">
        <v>306</v>
      </c>
    </row>
    <row r="44" spans="1:3" x14ac:dyDescent="0.3">
      <c r="A44" t="s">
        <v>93</v>
      </c>
      <c r="B44" t="s">
        <v>235</v>
      </c>
      <c r="C44" t="s">
        <v>250</v>
      </c>
    </row>
    <row r="45" spans="1:3" x14ac:dyDescent="0.3">
      <c r="A45" t="s">
        <v>78</v>
      </c>
      <c r="B45" t="s">
        <v>235</v>
      </c>
      <c r="C45" t="s">
        <v>250</v>
      </c>
    </row>
    <row r="46" spans="1:3" x14ac:dyDescent="0.3">
      <c r="A46" t="s">
        <v>125</v>
      </c>
      <c r="B46" t="s">
        <v>235</v>
      </c>
      <c r="C46" t="s">
        <v>250</v>
      </c>
    </row>
    <row r="47" spans="1:3" x14ac:dyDescent="0.3">
      <c r="A47" t="s">
        <v>109</v>
      </c>
      <c r="B47" t="s">
        <v>235</v>
      </c>
      <c r="C47" t="s">
        <v>250</v>
      </c>
    </row>
    <row r="48" spans="1:3" x14ac:dyDescent="0.3">
      <c r="A48" t="s">
        <v>312</v>
      </c>
      <c r="B48" t="s">
        <v>235</v>
      </c>
      <c r="C48" t="s">
        <v>306</v>
      </c>
    </row>
    <row r="49" spans="1:3" x14ac:dyDescent="0.3">
      <c r="A49" t="s">
        <v>116</v>
      </c>
      <c r="B49" t="s">
        <v>235</v>
      </c>
      <c r="C49" t="s">
        <v>250</v>
      </c>
    </row>
    <row r="50" spans="1:3" x14ac:dyDescent="0.3">
      <c r="A50" t="s">
        <v>130</v>
      </c>
      <c r="B50" t="s">
        <v>235</v>
      </c>
      <c r="C50" t="s">
        <v>250</v>
      </c>
    </row>
    <row r="51" spans="1:3" x14ac:dyDescent="0.3">
      <c r="A51" t="s">
        <v>118</v>
      </c>
      <c r="B51" t="s">
        <v>235</v>
      </c>
      <c r="C51" t="s">
        <v>250</v>
      </c>
    </row>
    <row r="52" spans="1:3" x14ac:dyDescent="0.3">
      <c r="A52" t="s">
        <v>123</v>
      </c>
      <c r="B52" t="s">
        <v>235</v>
      </c>
      <c r="C52" t="s">
        <v>250</v>
      </c>
    </row>
    <row r="53" spans="1:3" x14ac:dyDescent="0.3">
      <c r="A53" t="s">
        <v>127</v>
      </c>
      <c r="B53" t="s">
        <v>235</v>
      </c>
      <c r="C53" t="s">
        <v>250</v>
      </c>
    </row>
    <row r="54" spans="1:3" x14ac:dyDescent="0.3">
      <c r="A54" t="s">
        <v>106</v>
      </c>
      <c r="B54" t="s">
        <v>307</v>
      </c>
      <c r="C54" t="s">
        <v>250</v>
      </c>
    </row>
    <row r="55" spans="1:3" x14ac:dyDescent="0.3">
      <c r="A55" s="212" t="s">
        <v>233</v>
      </c>
      <c r="B55" s="212"/>
      <c r="C55" s="212"/>
    </row>
    <row r="56" spans="1:3" x14ac:dyDescent="0.3">
      <c r="A56" t="s">
        <v>24</v>
      </c>
      <c r="B56" t="s">
        <v>236</v>
      </c>
      <c r="C56" t="s">
        <v>250</v>
      </c>
    </row>
    <row r="57" spans="1:3" x14ac:dyDescent="0.3">
      <c r="A57" t="s">
        <v>313</v>
      </c>
      <c r="B57" t="s">
        <v>236</v>
      </c>
      <c r="C57" t="s">
        <v>306</v>
      </c>
    </row>
    <row r="58" spans="1:3" x14ac:dyDescent="0.3">
      <c r="A58" t="s">
        <v>13</v>
      </c>
      <c r="B58" t="s">
        <v>236</v>
      </c>
      <c r="C58" t="s">
        <v>250</v>
      </c>
    </row>
    <row r="59" spans="1:3" x14ac:dyDescent="0.3">
      <c r="A59" t="s">
        <v>46</v>
      </c>
      <c r="B59" t="s">
        <v>236</v>
      </c>
      <c r="C59" t="s">
        <v>250</v>
      </c>
    </row>
    <row r="60" spans="1:3" x14ac:dyDescent="0.3">
      <c r="A60" t="s">
        <v>49</v>
      </c>
      <c r="B60" t="s">
        <v>236</v>
      </c>
      <c r="C60" t="s">
        <v>250</v>
      </c>
    </row>
    <row r="61" spans="1:3" x14ac:dyDescent="0.3">
      <c r="A61" t="s">
        <v>16</v>
      </c>
      <c r="B61" t="s">
        <v>236</v>
      </c>
      <c r="C61" t="s">
        <v>250</v>
      </c>
    </row>
    <row r="62" spans="1:3" x14ac:dyDescent="0.3">
      <c r="A62" t="s">
        <v>314</v>
      </c>
      <c r="B62" t="s">
        <v>236</v>
      </c>
      <c r="C62" t="s">
        <v>306</v>
      </c>
    </row>
    <row r="63" spans="1:3" x14ac:dyDescent="0.3">
      <c r="A63" t="s">
        <v>9</v>
      </c>
      <c r="B63" t="s">
        <v>236</v>
      </c>
      <c r="C63" t="s">
        <v>250</v>
      </c>
    </row>
    <row r="64" spans="1:3" x14ac:dyDescent="0.3">
      <c r="A64" t="s">
        <v>22</v>
      </c>
      <c r="B64" t="s">
        <v>236</v>
      </c>
      <c r="C64" t="s">
        <v>250</v>
      </c>
    </row>
    <row r="65" spans="1:3" x14ac:dyDescent="0.3">
      <c r="A65" t="s">
        <v>48</v>
      </c>
      <c r="B65" t="s">
        <v>236</v>
      </c>
      <c r="C65" t="s">
        <v>250</v>
      </c>
    </row>
    <row r="66" spans="1:3" x14ac:dyDescent="0.3">
      <c r="A66" t="s">
        <v>355</v>
      </c>
      <c r="B66" t="s">
        <v>236</v>
      </c>
      <c r="C66" t="s">
        <v>306</v>
      </c>
    </row>
    <row r="67" spans="1:3" x14ac:dyDescent="0.3">
      <c r="A67" t="s">
        <v>34</v>
      </c>
      <c r="B67" t="s">
        <v>235</v>
      </c>
      <c r="C67" t="s">
        <v>250</v>
      </c>
    </row>
    <row r="68" spans="1:3" x14ac:dyDescent="0.3">
      <c r="A68" t="s">
        <v>60</v>
      </c>
      <c r="B68" t="s">
        <v>235</v>
      </c>
      <c r="C68" t="s">
        <v>250</v>
      </c>
    </row>
    <row r="69" spans="1:3" x14ac:dyDescent="0.3">
      <c r="A69" t="s">
        <v>55</v>
      </c>
      <c r="B69" t="s">
        <v>235</v>
      </c>
      <c r="C69" t="s">
        <v>250</v>
      </c>
    </row>
    <row r="70" spans="1:3" x14ac:dyDescent="0.3">
      <c r="A70" t="s">
        <v>27</v>
      </c>
      <c r="B70" t="s">
        <v>235</v>
      </c>
      <c r="C70" t="s">
        <v>250</v>
      </c>
    </row>
    <row r="71" spans="1:3" x14ac:dyDescent="0.3">
      <c r="A71" t="s">
        <v>57</v>
      </c>
      <c r="B71" t="s">
        <v>235</v>
      </c>
      <c r="C71" t="s">
        <v>250</v>
      </c>
    </row>
    <row r="72" spans="1:3" x14ac:dyDescent="0.3">
      <c r="A72" t="s">
        <v>39</v>
      </c>
      <c r="B72" t="s">
        <v>235</v>
      </c>
      <c r="C72" t="s">
        <v>250</v>
      </c>
    </row>
    <row r="73" spans="1:3" x14ac:dyDescent="0.3">
      <c r="A73" t="s">
        <v>42</v>
      </c>
      <c r="B73" t="s">
        <v>235</v>
      </c>
      <c r="C73" t="s">
        <v>250</v>
      </c>
    </row>
    <row r="74" spans="1:3" x14ac:dyDescent="0.3">
      <c r="A74" t="s">
        <v>32</v>
      </c>
      <c r="B74" t="s">
        <v>235</v>
      </c>
      <c r="C74" t="s">
        <v>250</v>
      </c>
    </row>
    <row r="75" spans="1:3" x14ac:dyDescent="0.3">
      <c r="A75" t="s">
        <v>30</v>
      </c>
      <c r="B75" t="s">
        <v>235</v>
      </c>
      <c r="C75" t="s">
        <v>250</v>
      </c>
    </row>
    <row r="76" spans="1:3" x14ac:dyDescent="0.3">
      <c r="A76" t="s">
        <v>46</v>
      </c>
      <c r="B76" t="s">
        <v>235</v>
      </c>
      <c r="C76" t="s">
        <v>250</v>
      </c>
    </row>
    <row r="77" spans="1:3" x14ac:dyDescent="0.3">
      <c r="A77" t="s">
        <v>36</v>
      </c>
      <c r="B77" t="s">
        <v>307</v>
      </c>
      <c r="C77" t="s">
        <v>250</v>
      </c>
    </row>
  </sheetData>
  <autoFilter ref="A3:C77" xr:uid="{944A9FF3-AB98-4582-984D-A3B01C86E087}"/>
  <mergeCells count="3">
    <mergeCell ref="A33:C33"/>
    <mergeCell ref="A55:C55"/>
    <mergeCell ref="A4:C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1ACA00-52A8-41DE-9D8B-3FDD07C0D55C}">
  <sheetPr>
    <tabColor theme="1"/>
  </sheetPr>
  <dimension ref="A1:Y115"/>
  <sheetViews>
    <sheetView zoomScale="70" zoomScaleNormal="70" workbookViewId="0">
      <pane xSplit="5" ySplit="1" topLeftCell="F2" activePane="bottomRight" state="frozen"/>
      <selection pane="topRight" activeCell="F1" sqref="F1"/>
      <selection pane="bottomLeft" activeCell="A2" sqref="A2"/>
      <selection pane="bottomRight" sqref="A1:XFD1048576"/>
    </sheetView>
  </sheetViews>
  <sheetFormatPr defaultRowHeight="14.4" x14ac:dyDescent="0.3"/>
  <cols>
    <col min="1" max="1" width="10.796875" style="84" customWidth="1"/>
    <col min="2" max="2" width="10.19921875" customWidth="1"/>
    <col min="3" max="3" width="32.296875" style="41" customWidth="1"/>
    <col min="4" max="4" width="44" style="73" customWidth="1"/>
    <col min="5" max="5" width="15.19921875" style="41" customWidth="1"/>
    <col min="6" max="6" width="15.19921875" customWidth="1"/>
    <col min="7" max="7" width="17.09765625" style="42" customWidth="1"/>
    <col min="8" max="8" width="24.8984375" style="40" customWidth="1"/>
    <col min="9" max="10" width="14.59765625" customWidth="1"/>
    <col min="11" max="11" width="40.296875" style="41" customWidth="1"/>
    <col min="12" max="12" width="39.296875" customWidth="1"/>
    <col min="13" max="17" width="19.296875" customWidth="1"/>
    <col min="18" max="22" width="22.3984375" style="173" customWidth="1"/>
    <col min="23" max="25" width="8.8984375" hidden="1" customWidth="1"/>
  </cols>
  <sheetData>
    <row r="1" spans="1:25" ht="56.05" customHeight="1" x14ac:dyDescent="0.3">
      <c r="A1" s="44" t="s">
        <v>238</v>
      </c>
      <c r="B1" s="24" t="s">
        <v>0</v>
      </c>
      <c r="C1" s="22" t="s">
        <v>1</v>
      </c>
      <c r="D1" s="22" t="s">
        <v>2</v>
      </c>
      <c r="E1" s="23" t="s">
        <v>3</v>
      </c>
      <c r="F1" s="24" t="s">
        <v>143</v>
      </c>
      <c r="G1" s="25" t="s">
        <v>602</v>
      </c>
      <c r="H1" s="24" t="s">
        <v>603</v>
      </c>
      <c r="I1" s="21" t="s">
        <v>604</v>
      </c>
      <c r="J1" s="24" t="s">
        <v>605</v>
      </c>
      <c r="K1" s="23" t="s">
        <v>7</v>
      </c>
      <c r="L1" s="80" t="s">
        <v>8</v>
      </c>
      <c r="M1" s="2" t="s">
        <v>371</v>
      </c>
      <c r="N1" s="2" t="s">
        <v>372</v>
      </c>
      <c r="O1" s="2" t="s">
        <v>606</v>
      </c>
      <c r="P1" s="2" t="s">
        <v>607</v>
      </c>
      <c r="Q1" s="2" t="s">
        <v>608</v>
      </c>
      <c r="R1" s="174" t="s">
        <v>342</v>
      </c>
      <c r="S1" s="174" t="s">
        <v>343</v>
      </c>
      <c r="T1" s="174" t="s">
        <v>344</v>
      </c>
      <c r="U1" s="174" t="s">
        <v>345</v>
      </c>
      <c r="V1" s="174" t="s">
        <v>346</v>
      </c>
    </row>
    <row r="2" spans="1:25" s="30" customFormat="1" x14ac:dyDescent="0.25">
      <c r="A2" s="47"/>
      <c r="B2" s="104" t="s">
        <v>199</v>
      </c>
      <c r="C2" s="56"/>
      <c r="D2" s="59"/>
      <c r="E2" s="56"/>
      <c r="F2" s="56"/>
      <c r="G2" s="56"/>
      <c r="H2" s="56"/>
      <c r="I2" s="56"/>
      <c r="J2" s="56"/>
      <c r="K2" s="60"/>
      <c r="L2" s="56"/>
      <c r="M2" s="46"/>
      <c r="N2" s="46"/>
      <c r="O2" s="46"/>
      <c r="P2" s="46"/>
      <c r="Q2" s="46"/>
    </row>
    <row r="3" spans="1:25" ht="30.85" customHeight="1" x14ac:dyDescent="0.3">
      <c r="A3" s="51" t="str">
        <f>IF(ISNA(VLOOKUP(B3,Shortlist_xref!$A$5:$B$77,2,FALSE))=TRUE,"-",VLOOKUP(B3,Shortlist_xref!$A$5:$B$77,2,FALSE))</f>
        <v>-</v>
      </c>
      <c r="B3" s="102" t="s">
        <v>609</v>
      </c>
      <c r="C3" s="61" t="s">
        <v>610</v>
      </c>
      <c r="D3" s="62" t="s">
        <v>611</v>
      </c>
      <c r="E3" s="61" t="s">
        <v>12</v>
      </c>
      <c r="F3" s="63" t="s">
        <v>37</v>
      </c>
      <c r="G3" s="63" t="s">
        <v>37</v>
      </c>
      <c r="H3" s="64" t="s">
        <v>612</v>
      </c>
      <c r="I3" s="147">
        <v>2.5204455265959019E-2</v>
      </c>
      <c r="J3" s="65" t="s">
        <v>37</v>
      </c>
      <c r="K3" s="66">
        <v>0</v>
      </c>
      <c r="L3" s="103" t="s">
        <v>613</v>
      </c>
      <c r="M3" s="195" t="s">
        <v>614</v>
      </c>
      <c r="N3" s="195" t="s">
        <v>381</v>
      </c>
      <c r="O3" s="195" t="s">
        <v>381</v>
      </c>
      <c r="P3" s="195" t="s">
        <v>381</v>
      </c>
      <c r="Q3" s="195" t="s">
        <v>381</v>
      </c>
      <c r="R3" s="173" t="s">
        <v>1171</v>
      </c>
      <c r="S3" s="173" t="s">
        <v>1171</v>
      </c>
      <c r="T3" s="173" t="s">
        <v>1171</v>
      </c>
      <c r="U3" s="173" t="s">
        <v>1172</v>
      </c>
      <c r="V3" s="173" t="s">
        <v>1171</v>
      </c>
      <c r="W3" s="30" t="b">
        <v>1</v>
      </c>
      <c r="X3" s="188" t="str">
        <f>B3&amp;E3</f>
        <v>G-1NOx</v>
      </c>
      <c r="Y3" s="190" t="str">
        <f>H3</f>
        <v>Low cost</v>
      </c>
    </row>
    <row r="4" spans="1:25" ht="30.85" customHeight="1" x14ac:dyDescent="0.3">
      <c r="A4" s="51" t="str">
        <f>IF(ISNA(VLOOKUP(B4,Shortlist_xref!$A$5:$B$77,2,FALSE))=TRUE,"-",VLOOKUP(B4,Shortlist_xref!$A$5:$B$77,2,FALSE))</f>
        <v>-</v>
      </c>
      <c r="B4" s="116" t="s">
        <v>609</v>
      </c>
      <c r="C4" s="61" t="s">
        <v>610</v>
      </c>
      <c r="D4" s="62" t="s">
        <v>611</v>
      </c>
      <c r="E4" s="67" t="s">
        <v>53</v>
      </c>
      <c r="F4" s="68" t="s">
        <v>37</v>
      </c>
      <c r="G4" s="68" t="s">
        <v>37</v>
      </c>
      <c r="H4" s="69" t="s">
        <v>612</v>
      </c>
      <c r="I4" s="148">
        <v>4.6651627591184797E-2</v>
      </c>
      <c r="J4" s="70" t="s">
        <v>37</v>
      </c>
      <c r="K4" s="71">
        <v>0</v>
      </c>
      <c r="L4" s="103" t="s">
        <v>613</v>
      </c>
      <c r="M4" s="195" t="s">
        <v>614</v>
      </c>
      <c r="N4" s="195" t="s">
        <v>381</v>
      </c>
      <c r="O4" s="195" t="s">
        <v>381</v>
      </c>
      <c r="P4" s="195" t="s">
        <v>381</v>
      </c>
      <c r="Q4" s="195" t="s">
        <v>381</v>
      </c>
      <c r="R4" s="173" t="s">
        <v>1171</v>
      </c>
      <c r="S4" s="173" t="s">
        <v>1171</v>
      </c>
      <c r="T4" s="173" t="s">
        <v>1171</v>
      </c>
      <c r="U4" s="173" t="s">
        <v>1172</v>
      </c>
      <c r="V4" s="173" t="s">
        <v>1171</v>
      </c>
      <c r="W4" s="30" t="b">
        <v>1</v>
      </c>
      <c r="X4" s="188" t="str">
        <f t="shared" ref="X4:X67" si="0">B4&amp;E4</f>
        <v>G-1VOC</v>
      </c>
      <c r="Y4" s="190" t="str">
        <f t="shared" ref="Y4:Y67" si="1">H4</f>
        <v>Low cost</v>
      </c>
    </row>
    <row r="5" spans="1:25" x14ac:dyDescent="0.3">
      <c r="A5" s="47"/>
      <c r="B5" s="104" t="s">
        <v>144</v>
      </c>
      <c r="C5" s="56"/>
      <c r="D5" s="59"/>
      <c r="E5" s="56"/>
      <c r="F5" s="56"/>
      <c r="G5" s="56"/>
      <c r="H5" s="56"/>
      <c r="I5" s="56"/>
      <c r="J5" s="56"/>
      <c r="K5" s="60"/>
      <c r="L5" s="56"/>
      <c r="M5" s="197"/>
      <c r="N5" s="197"/>
      <c r="O5" s="197"/>
      <c r="P5" s="197"/>
      <c r="Q5" s="197"/>
      <c r="X5" s="188" t="str">
        <f t="shared" si="0"/>
        <v>Onroad</v>
      </c>
      <c r="Y5" s="190">
        <f t="shared" si="1"/>
        <v>0</v>
      </c>
    </row>
    <row r="6" spans="1:25" x14ac:dyDescent="0.3">
      <c r="A6" s="51" t="str">
        <f>IF(ISNA(VLOOKUP(B6,Shortlist_xref!$A$5:$B$77,2,FALSE))=TRUE,"-",VLOOKUP(B6,Shortlist_xref!$A$5:$B$77,2,FALSE))</f>
        <v>CE</v>
      </c>
      <c r="B6" s="102" t="s">
        <v>200</v>
      </c>
      <c r="C6" s="126" t="s">
        <v>145</v>
      </c>
      <c r="D6" s="127" t="s">
        <v>212</v>
      </c>
      <c r="E6" s="126" t="s">
        <v>12</v>
      </c>
      <c r="F6" s="149">
        <v>0.01</v>
      </c>
      <c r="G6" s="32">
        <v>0.02</v>
      </c>
      <c r="H6" s="72" t="s">
        <v>615</v>
      </c>
      <c r="I6" s="34">
        <v>9.2663878861477839E-2</v>
      </c>
      <c r="J6" s="145">
        <v>19.872042930136804</v>
      </c>
      <c r="K6" s="128">
        <v>0</v>
      </c>
      <c r="L6" s="129" t="s">
        <v>613</v>
      </c>
      <c r="M6" s="198" t="s">
        <v>614</v>
      </c>
      <c r="N6" s="198" t="s">
        <v>381</v>
      </c>
      <c r="O6" s="198" t="s">
        <v>381</v>
      </c>
      <c r="P6" s="198" t="s">
        <v>381</v>
      </c>
      <c r="Q6" s="198" t="s">
        <v>381</v>
      </c>
      <c r="R6" s="173" t="s">
        <v>1171</v>
      </c>
      <c r="S6" s="173" t="s">
        <v>1171</v>
      </c>
      <c r="T6" s="173" t="s">
        <v>1171</v>
      </c>
      <c r="U6" s="173" t="s">
        <v>1171</v>
      </c>
      <c r="V6" s="173" t="s">
        <v>1171</v>
      </c>
      <c r="W6" s="30" t="b">
        <v>1</v>
      </c>
      <c r="X6" s="188" t="str">
        <f t="shared" si="0"/>
        <v>O-1NOx</v>
      </c>
      <c r="Y6" s="190" t="str">
        <f t="shared" si="1"/>
        <v>$3,613/ton NOx</v>
      </c>
    </row>
    <row r="7" spans="1:25" x14ac:dyDescent="0.3">
      <c r="A7" s="51" t="str">
        <f>IF(ISNA(VLOOKUP(B7,Shortlist_xref!$A$5:$B$77,2,FALSE))=TRUE,"-",VLOOKUP(B7,Shortlist_xref!$A$5:$B$77,2,FALSE))</f>
        <v>CE</v>
      </c>
      <c r="B7" s="102" t="s">
        <v>200</v>
      </c>
      <c r="C7" s="126" t="s">
        <v>145</v>
      </c>
      <c r="D7" s="127" t="s">
        <v>212</v>
      </c>
      <c r="E7" s="126" t="s">
        <v>53</v>
      </c>
      <c r="F7" s="132">
        <v>0.01</v>
      </c>
      <c r="G7" s="135">
        <v>1E-3</v>
      </c>
      <c r="H7" s="133" t="s">
        <v>37</v>
      </c>
      <c r="I7" s="134">
        <v>9.2506949251990059E-2</v>
      </c>
      <c r="J7" s="123">
        <v>1.3955603642082608</v>
      </c>
      <c r="K7" s="128">
        <v>0</v>
      </c>
      <c r="L7" s="129" t="s">
        <v>613</v>
      </c>
      <c r="M7" s="198" t="s">
        <v>614</v>
      </c>
      <c r="N7" s="198" t="s">
        <v>381</v>
      </c>
      <c r="O7" s="198" t="s">
        <v>381</v>
      </c>
      <c r="P7" s="198" t="s">
        <v>381</v>
      </c>
      <c r="Q7" s="198" t="s">
        <v>381</v>
      </c>
      <c r="R7" s="173" t="s">
        <v>1171</v>
      </c>
      <c r="S7" s="173" t="s">
        <v>1171</v>
      </c>
      <c r="T7" s="173" t="s">
        <v>1171</v>
      </c>
      <c r="U7" s="173" t="s">
        <v>1171</v>
      </c>
      <c r="V7" s="173" t="s">
        <v>1171</v>
      </c>
      <c r="W7" s="30" t="b">
        <v>1</v>
      </c>
      <c r="X7" s="188" t="str">
        <f t="shared" si="0"/>
        <v>O-1VOC</v>
      </c>
      <c r="Y7" s="190" t="str">
        <f t="shared" si="1"/>
        <v>NA</v>
      </c>
    </row>
    <row r="8" spans="1:25" x14ac:dyDescent="0.3">
      <c r="A8" s="51" t="str">
        <f>IF(ISNA(VLOOKUP(B8,Shortlist_xref!$A$5:$B$77,2,FALSE))=TRUE,"-",VLOOKUP(B8,Shortlist_xref!$A$5:$B$77,2,FALSE))</f>
        <v>-</v>
      </c>
      <c r="B8" s="57" t="s">
        <v>616</v>
      </c>
      <c r="C8" s="126" t="s">
        <v>145</v>
      </c>
      <c r="D8" s="127" t="s">
        <v>617</v>
      </c>
      <c r="E8" s="131" t="s">
        <v>53</v>
      </c>
      <c r="F8" s="132">
        <v>0.01</v>
      </c>
      <c r="G8" s="132">
        <v>2.5000000000000001E-2</v>
      </c>
      <c r="H8" s="133" t="s">
        <v>618</v>
      </c>
      <c r="I8" s="134">
        <v>9.2506949251990059E-2</v>
      </c>
      <c r="J8" s="123">
        <v>34.889009105206519</v>
      </c>
      <c r="K8" s="128">
        <v>0</v>
      </c>
      <c r="L8" s="129" t="s">
        <v>613</v>
      </c>
      <c r="M8" s="198" t="s">
        <v>614</v>
      </c>
      <c r="N8" s="198" t="s">
        <v>381</v>
      </c>
      <c r="O8" s="198" t="s">
        <v>381</v>
      </c>
      <c r="P8" s="198" t="s">
        <v>381</v>
      </c>
      <c r="Q8" s="198" t="s">
        <v>381</v>
      </c>
      <c r="R8" s="173" t="s">
        <v>1171</v>
      </c>
      <c r="S8" s="173" t="s">
        <v>1171</v>
      </c>
      <c r="T8" s="173" t="s">
        <v>1171</v>
      </c>
      <c r="U8" s="173" t="s">
        <v>1171</v>
      </c>
      <c r="V8" s="173" t="s">
        <v>1171</v>
      </c>
      <c r="W8" s="30" t="b">
        <v>1</v>
      </c>
      <c r="X8" s="188" t="str">
        <f t="shared" si="0"/>
        <v>O-2VOC</v>
      </c>
      <c r="Y8" s="190" t="str">
        <f t="shared" si="1"/>
        <v>$5,700/ton VOC</v>
      </c>
    </row>
    <row r="9" spans="1:25" ht="24.2" x14ac:dyDescent="0.3">
      <c r="A9" s="51" t="str">
        <f>IF(ISNA(VLOOKUP(B9,Shortlist_xref!$A$5:$B$77,2,FALSE))=TRUE,"-",VLOOKUP(B9,Shortlist_xref!$A$5:$B$77,2,FALSE))</f>
        <v>EmissRed</v>
      </c>
      <c r="B9" s="57" t="s">
        <v>201</v>
      </c>
      <c r="C9" s="126" t="s">
        <v>145</v>
      </c>
      <c r="D9" s="127" t="s">
        <v>213</v>
      </c>
      <c r="E9" s="131" t="s">
        <v>53</v>
      </c>
      <c r="F9" s="132">
        <v>1</v>
      </c>
      <c r="G9" s="132">
        <v>0.03</v>
      </c>
      <c r="H9" s="133" t="s">
        <v>37</v>
      </c>
      <c r="I9" s="134">
        <v>9.2506949251990059E-2</v>
      </c>
      <c r="J9" s="123">
        <v>4186.6810926247817</v>
      </c>
      <c r="K9" s="128">
        <v>0</v>
      </c>
      <c r="L9" s="129" t="s">
        <v>613</v>
      </c>
      <c r="M9" s="198" t="s">
        <v>614</v>
      </c>
      <c r="N9" s="198" t="s">
        <v>381</v>
      </c>
      <c r="O9" s="198" t="s">
        <v>381</v>
      </c>
      <c r="P9" s="198" t="s">
        <v>381</v>
      </c>
      <c r="Q9" s="198" t="s">
        <v>381</v>
      </c>
      <c r="R9" s="173" t="s">
        <v>1171</v>
      </c>
      <c r="S9" s="173" t="s">
        <v>1171</v>
      </c>
      <c r="T9" s="173" t="s">
        <v>1171</v>
      </c>
      <c r="U9" s="173" t="s">
        <v>1172</v>
      </c>
      <c r="V9" s="173" t="s">
        <v>1172</v>
      </c>
      <c r="W9" s="30" t="b">
        <v>1</v>
      </c>
      <c r="X9" s="188" t="str">
        <f t="shared" si="0"/>
        <v>O-3VOC</v>
      </c>
      <c r="Y9" s="190" t="str">
        <f t="shared" si="1"/>
        <v>NA</v>
      </c>
    </row>
    <row r="10" spans="1:25" ht="32.85" x14ac:dyDescent="0.3">
      <c r="A10" s="51" t="str">
        <f>IF(ISNA(VLOOKUP(B10,Shortlist_xref!$A$5:$B$77,2,FALSE))=TRUE,"-",VLOOKUP(B10,Shortlist_xref!$A$5:$B$77,2,FALSE))</f>
        <v>-</v>
      </c>
      <c r="B10" s="57" t="s">
        <v>619</v>
      </c>
      <c r="C10" s="126" t="s">
        <v>620</v>
      </c>
      <c r="D10" s="127" t="s">
        <v>621</v>
      </c>
      <c r="E10" s="131" t="s">
        <v>12</v>
      </c>
      <c r="F10" s="132">
        <v>0.01</v>
      </c>
      <c r="G10" s="135">
        <v>5.0000000000000001E-3</v>
      </c>
      <c r="H10" s="133" t="s">
        <v>622</v>
      </c>
      <c r="I10" s="134">
        <v>9.7099050388806146E-2</v>
      </c>
      <c r="J10" s="123">
        <v>5.2057946459546125</v>
      </c>
      <c r="K10" s="128" t="s">
        <v>623</v>
      </c>
      <c r="L10" s="129" t="s">
        <v>624</v>
      </c>
      <c r="M10" s="198" t="s">
        <v>625</v>
      </c>
      <c r="N10" s="198" t="s">
        <v>626</v>
      </c>
      <c r="O10" s="198" t="s">
        <v>627</v>
      </c>
      <c r="P10" s="198" t="s">
        <v>381</v>
      </c>
      <c r="Q10" s="198" t="s">
        <v>381</v>
      </c>
      <c r="R10" s="173" t="s">
        <v>1171</v>
      </c>
      <c r="S10" s="173" t="s">
        <v>1171</v>
      </c>
      <c r="T10" s="173" t="s">
        <v>1171</v>
      </c>
      <c r="U10" s="173" t="s">
        <v>1172</v>
      </c>
      <c r="V10" s="173" t="s">
        <v>1172</v>
      </c>
      <c r="W10" s="30" t="b">
        <v>1</v>
      </c>
      <c r="X10" s="188" t="str">
        <f t="shared" si="0"/>
        <v>O-4NOx</v>
      </c>
      <c r="Y10" s="190" t="str">
        <f t="shared" si="1"/>
        <v>$17,000-340,000/ton NOx</v>
      </c>
    </row>
    <row r="11" spans="1:25" ht="32.85" x14ac:dyDescent="0.3">
      <c r="A11" s="51" t="str">
        <f>IF(ISNA(VLOOKUP(B11,Shortlist_xref!$A$5:$B$77,2,FALSE))=TRUE,"-",VLOOKUP(B11,Shortlist_xref!$A$5:$B$77,2,FALSE))</f>
        <v>-</v>
      </c>
      <c r="B11" s="57" t="s">
        <v>619</v>
      </c>
      <c r="C11" s="126" t="s">
        <v>620</v>
      </c>
      <c r="D11" s="127" t="s">
        <v>621</v>
      </c>
      <c r="E11" s="131" t="s">
        <v>53</v>
      </c>
      <c r="F11" s="132">
        <v>0.01</v>
      </c>
      <c r="G11" s="135">
        <v>5.0000000000000001E-3</v>
      </c>
      <c r="H11" s="133" t="s">
        <v>37</v>
      </c>
      <c r="I11" s="134">
        <v>8.5013330242014795E-2</v>
      </c>
      <c r="J11" s="123">
        <v>6.4125579253469462</v>
      </c>
      <c r="K11" s="128" t="s">
        <v>628</v>
      </c>
      <c r="L11" s="129" t="s">
        <v>629</v>
      </c>
      <c r="M11" s="198" t="s">
        <v>625</v>
      </c>
      <c r="N11" s="198" t="s">
        <v>626</v>
      </c>
      <c r="O11" s="198" t="s">
        <v>627</v>
      </c>
      <c r="P11" s="198" t="s">
        <v>381</v>
      </c>
      <c r="Q11" s="198" t="s">
        <v>381</v>
      </c>
      <c r="R11" s="173" t="s">
        <v>1171</v>
      </c>
      <c r="S11" s="173" t="s">
        <v>1171</v>
      </c>
      <c r="T11" s="173" t="s">
        <v>1171</v>
      </c>
      <c r="U11" s="173" t="s">
        <v>1172</v>
      </c>
      <c r="V11" s="173" t="s">
        <v>1172</v>
      </c>
      <c r="W11" s="30" t="b">
        <v>1</v>
      </c>
      <c r="X11" s="188" t="str">
        <f t="shared" si="0"/>
        <v>O-4VOC</v>
      </c>
      <c r="Y11" s="190" t="str">
        <f t="shared" si="1"/>
        <v>NA</v>
      </c>
    </row>
    <row r="12" spans="1:25" ht="32.85" x14ac:dyDescent="0.3">
      <c r="A12" s="51" t="str">
        <f>IF(ISNA(VLOOKUP(B12,Shortlist_xref!$A$5:$B$77,2,FALSE))=TRUE,"-",VLOOKUP(B12,Shortlist_xref!$A$5:$B$77,2,FALSE))</f>
        <v>R-Select</v>
      </c>
      <c r="B12" s="57" t="s">
        <v>146</v>
      </c>
      <c r="C12" s="126" t="s">
        <v>147</v>
      </c>
      <c r="D12" s="127" t="s">
        <v>148</v>
      </c>
      <c r="E12" s="131" t="s">
        <v>12</v>
      </c>
      <c r="F12" s="132">
        <v>0.01</v>
      </c>
      <c r="G12" s="132">
        <v>0.52</v>
      </c>
      <c r="H12" s="133" t="s">
        <v>630</v>
      </c>
      <c r="I12" s="134">
        <v>0.10025591063278323</v>
      </c>
      <c r="J12" s="123">
        <v>559.00459163699406</v>
      </c>
      <c r="K12" s="128">
        <v>0</v>
      </c>
      <c r="L12" s="129" t="s">
        <v>629</v>
      </c>
      <c r="M12" s="198" t="s">
        <v>625</v>
      </c>
      <c r="N12" s="198" t="s">
        <v>631</v>
      </c>
      <c r="O12" s="198" t="s">
        <v>627</v>
      </c>
      <c r="P12" s="198"/>
      <c r="Q12" s="198"/>
      <c r="R12" s="173" t="s">
        <v>1171</v>
      </c>
      <c r="S12" s="173" t="s">
        <v>1171</v>
      </c>
      <c r="T12" s="173" t="s">
        <v>1171</v>
      </c>
      <c r="U12" s="173" t="s">
        <v>1172</v>
      </c>
      <c r="V12" s="173" t="s">
        <v>1172</v>
      </c>
      <c r="W12" s="30" t="b">
        <v>1</v>
      </c>
      <c r="X12" s="188" t="str">
        <f t="shared" si="0"/>
        <v>O-5, O-6NOx</v>
      </c>
      <c r="Y12" s="190" t="str">
        <f t="shared" si="1"/>
        <v>$26,287-46,062/ton NOx+VOC</v>
      </c>
    </row>
    <row r="13" spans="1:25" ht="32.85" x14ac:dyDescent="0.3">
      <c r="A13" s="51" t="str">
        <f>IF(ISNA(VLOOKUP(B13,Shortlist_xref!$A$5:$B$77,2,FALSE))=TRUE,"-",VLOOKUP(B13,Shortlist_xref!$A$5:$B$77,2,FALSE))</f>
        <v>R-Select</v>
      </c>
      <c r="B13" s="57" t="s">
        <v>146</v>
      </c>
      <c r="C13" s="126" t="s">
        <v>147</v>
      </c>
      <c r="D13" s="127" t="s">
        <v>148</v>
      </c>
      <c r="E13" s="131" t="s">
        <v>53</v>
      </c>
      <c r="F13" s="132">
        <v>0.01</v>
      </c>
      <c r="G13" s="132">
        <v>0.65</v>
      </c>
      <c r="H13" s="133" t="s">
        <v>630</v>
      </c>
      <c r="I13" s="134">
        <v>9.1860264959932922E-2</v>
      </c>
      <c r="J13" s="123">
        <v>900.77291283763486</v>
      </c>
      <c r="K13" s="128">
        <v>0</v>
      </c>
      <c r="L13" s="129" t="s">
        <v>629</v>
      </c>
      <c r="M13" s="198" t="s">
        <v>625</v>
      </c>
      <c r="N13" s="198" t="s">
        <v>631</v>
      </c>
      <c r="O13" s="198" t="s">
        <v>627</v>
      </c>
      <c r="P13" s="198"/>
      <c r="Q13" s="198"/>
      <c r="R13" s="173" t="s">
        <v>1171</v>
      </c>
      <c r="S13" s="173" t="s">
        <v>1171</v>
      </c>
      <c r="T13" s="173" t="s">
        <v>1171</v>
      </c>
      <c r="U13" s="173" t="s">
        <v>1172</v>
      </c>
      <c r="V13" s="173" t="s">
        <v>1172</v>
      </c>
      <c r="W13" s="30" t="b">
        <v>1</v>
      </c>
      <c r="X13" s="188" t="str">
        <f t="shared" si="0"/>
        <v>O-5, O-6VOC</v>
      </c>
      <c r="Y13" s="190" t="str">
        <f t="shared" si="1"/>
        <v>$26,287-46,062/ton NOx+VOC</v>
      </c>
    </row>
    <row r="14" spans="1:25" x14ac:dyDescent="0.3">
      <c r="A14" s="51" t="str">
        <f>IF(ISNA(VLOOKUP(B14,Shortlist_xref!$A$5:$B$77,2,FALSE))=TRUE,"-",VLOOKUP(B14,Shortlist_xref!$A$5:$B$77,2,FALSE))</f>
        <v>-</v>
      </c>
      <c r="B14" s="57" t="s">
        <v>632</v>
      </c>
      <c r="C14" s="126" t="s">
        <v>633</v>
      </c>
      <c r="D14" s="127" t="s">
        <v>634</v>
      </c>
      <c r="E14" s="131" t="s">
        <v>12</v>
      </c>
      <c r="F14" s="132">
        <v>0.01</v>
      </c>
      <c r="G14" s="132">
        <v>3.5000000000000003E-2</v>
      </c>
      <c r="H14" s="133" t="s">
        <v>37</v>
      </c>
      <c r="I14" s="134">
        <v>0.10025591063278323</v>
      </c>
      <c r="J14" s="123">
        <v>37.625309052489989</v>
      </c>
      <c r="K14" s="128">
        <v>0</v>
      </c>
      <c r="L14" s="129" t="s">
        <v>613</v>
      </c>
      <c r="M14" s="198" t="s">
        <v>614</v>
      </c>
      <c r="N14" s="198" t="s">
        <v>381</v>
      </c>
      <c r="O14" s="198" t="s">
        <v>381</v>
      </c>
      <c r="P14" s="198" t="s">
        <v>381</v>
      </c>
      <c r="Q14" s="198" t="s">
        <v>381</v>
      </c>
      <c r="R14" s="173" t="s">
        <v>1171</v>
      </c>
      <c r="S14" s="173" t="s">
        <v>1171</v>
      </c>
      <c r="T14" s="173" t="s">
        <v>1171</v>
      </c>
      <c r="U14" s="173" t="s">
        <v>1172</v>
      </c>
      <c r="V14" s="173" t="s">
        <v>1172</v>
      </c>
      <c r="W14" s="30" t="b">
        <v>1</v>
      </c>
      <c r="X14" s="188" t="str">
        <f t="shared" si="0"/>
        <v>O-7NOx</v>
      </c>
      <c r="Y14" s="190" t="str">
        <f t="shared" si="1"/>
        <v>NA</v>
      </c>
    </row>
    <row r="15" spans="1:25" x14ac:dyDescent="0.3">
      <c r="A15" s="51" t="str">
        <f>IF(ISNA(VLOOKUP(B15,Shortlist_xref!$A$5:$B$77,2,FALSE))=TRUE,"-",VLOOKUP(B15,Shortlist_xref!$A$5:$B$77,2,FALSE))</f>
        <v>-</v>
      </c>
      <c r="B15" s="57" t="s">
        <v>632</v>
      </c>
      <c r="C15" s="126" t="s">
        <v>633</v>
      </c>
      <c r="D15" s="127" t="s">
        <v>634</v>
      </c>
      <c r="E15" s="131" t="s">
        <v>53</v>
      </c>
      <c r="F15" s="132">
        <v>0.01</v>
      </c>
      <c r="G15" s="132">
        <v>3.5000000000000003E-2</v>
      </c>
      <c r="H15" s="133" t="s">
        <v>37</v>
      </c>
      <c r="I15" s="134">
        <v>9.1860264959932922E-2</v>
      </c>
      <c r="J15" s="123">
        <v>48.503156845103419</v>
      </c>
      <c r="K15" s="128">
        <v>0</v>
      </c>
      <c r="L15" s="129" t="s">
        <v>613</v>
      </c>
      <c r="M15" s="198" t="s">
        <v>614</v>
      </c>
      <c r="N15" s="198" t="s">
        <v>381</v>
      </c>
      <c r="O15" s="198" t="s">
        <v>381</v>
      </c>
      <c r="P15" s="198" t="s">
        <v>381</v>
      </c>
      <c r="Q15" s="198" t="s">
        <v>381</v>
      </c>
      <c r="R15" s="173" t="s">
        <v>1171</v>
      </c>
      <c r="S15" s="173" t="s">
        <v>1171</v>
      </c>
      <c r="T15" s="173" t="s">
        <v>1171</v>
      </c>
      <c r="U15" s="173" t="s">
        <v>1172</v>
      </c>
      <c r="V15" s="173" t="s">
        <v>1172</v>
      </c>
      <c r="W15" s="30" t="b">
        <v>1</v>
      </c>
      <c r="X15" s="188" t="str">
        <f t="shared" si="0"/>
        <v>O-7VOC</v>
      </c>
      <c r="Y15" s="190" t="str">
        <f t="shared" si="1"/>
        <v>NA</v>
      </c>
    </row>
    <row r="16" spans="1:25" x14ac:dyDescent="0.3">
      <c r="A16" s="51" t="str">
        <f>IF(ISNA(VLOOKUP(B16,Shortlist_xref!$A$5:$B$77,2,FALSE))=TRUE,"-",VLOOKUP(B16,Shortlist_xref!$A$5:$B$77,2,FALSE))</f>
        <v>EmissRed</v>
      </c>
      <c r="B16" s="57" t="s">
        <v>202</v>
      </c>
      <c r="C16" s="126" t="s">
        <v>360</v>
      </c>
      <c r="D16" s="127" t="s">
        <v>361</v>
      </c>
      <c r="E16" s="131" t="s">
        <v>12</v>
      </c>
      <c r="F16" s="132">
        <v>0.5</v>
      </c>
      <c r="G16" s="132">
        <v>6.8750000000000006E-2</v>
      </c>
      <c r="H16" s="133" t="s">
        <v>37</v>
      </c>
      <c r="I16" s="134">
        <v>7.2076661475179771E-2</v>
      </c>
      <c r="J16" s="123">
        <v>2656.6810295367018</v>
      </c>
      <c r="K16" s="128" t="s">
        <v>635</v>
      </c>
      <c r="L16" s="129" t="s">
        <v>636</v>
      </c>
      <c r="M16" s="198" t="s">
        <v>637</v>
      </c>
      <c r="N16" s="198" t="s">
        <v>638</v>
      </c>
      <c r="O16" s="198" t="s">
        <v>381</v>
      </c>
      <c r="P16" s="198" t="s">
        <v>381</v>
      </c>
      <c r="Q16" s="198" t="s">
        <v>381</v>
      </c>
      <c r="R16" s="173" t="s">
        <v>1172</v>
      </c>
      <c r="S16" s="173" t="s">
        <v>1172</v>
      </c>
      <c r="T16" s="173" t="s">
        <v>1171</v>
      </c>
      <c r="U16" s="173" t="s">
        <v>1172</v>
      </c>
      <c r="V16" s="173" t="s">
        <v>1172</v>
      </c>
      <c r="W16" s="30" t="b">
        <v>1</v>
      </c>
      <c r="X16" s="188" t="str">
        <f t="shared" si="0"/>
        <v>O-8NOx</v>
      </c>
      <c r="Y16" s="190" t="str">
        <f t="shared" si="1"/>
        <v>NA</v>
      </c>
    </row>
    <row r="17" spans="1:25" x14ac:dyDescent="0.3">
      <c r="A17" s="51" t="str">
        <f>IF(ISNA(VLOOKUP(B17,Shortlist_xref!$A$5:$B$77,2,FALSE))=TRUE,"-",VLOOKUP(B17,Shortlist_xref!$A$5:$B$77,2,FALSE))</f>
        <v>-</v>
      </c>
      <c r="B17" s="57" t="s">
        <v>639</v>
      </c>
      <c r="C17" s="126" t="s">
        <v>640</v>
      </c>
      <c r="D17" s="127" t="s">
        <v>641</v>
      </c>
      <c r="E17" s="131" t="s">
        <v>642</v>
      </c>
      <c r="F17" s="132" t="s">
        <v>37</v>
      </c>
      <c r="G17" s="132" t="s">
        <v>37</v>
      </c>
      <c r="H17" s="132" t="s">
        <v>37</v>
      </c>
      <c r="I17" s="132" t="s">
        <v>37</v>
      </c>
      <c r="J17" s="132" t="s">
        <v>37</v>
      </c>
      <c r="K17" s="128" t="s">
        <v>643</v>
      </c>
      <c r="L17" s="129" t="s">
        <v>644</v>
      </c>
      <c r="M17" s="198" t="s">
        <v>645</v>
      </c>
      <c r="N17" s="198" t="s">
        <v>381</v>
      </c>
      <c r="O17" s="198" t="s">
        <v>381</v>
      </c>
      <c r="P17" s="198" t="s">
        <v>381</v>
      </c>
      <c r="Q17" s="198" t="s">
        <v>381</v>
      </c>
      <c r="R17" s="173" t="s">
        <v>1172</v>
      </c>
      <c r="S17" s="173" t="s">
        <v>1172</v>
      </c>
      <c r="T17" s="173" t="s">
        <v>1172</v>
      </c>
      <c r="U17" s="173" t="s">
        <v>1172</v>
      </c>
      <c r="V17" s="173" t="s">
        <v>1172</v>
      </c>
      <c r="W17" s="30" t="b">
        <v>1</v>
      </c>
      <c r="X17" s="188" t="str">
        <f t="shared" si="0"/>
        <v>O-9NOx, VOC</v>
      </c>
      <c r="Y17" s="190" t="str">
        <f t="shared" si="1"/>
        <v>NA</v>
      </c>
    </row>
    <row r="18" spans="1:25" x14ac:dyDescent="0.3">
      <c r="A18" s="51" t="str">
        <f>IF(ISNA(VLOOKUP(B18,Shortlist_xref!$A$5:$B$77,2,FALSE))=TRUE,"-",VLOOKUP(B18,Shortlist_xref!$A$5:$B$77,2,FALSE))</f>
        <v>EmissRed</v>
      </c>
      <c r="B18" s="57" t="s">
        <v>149</v>
      </c>
      <c r="C18" s="126" t="s">
        <v>150</v>
      </c>
      <c r="D18" s="127" t="s">
        <v>151</v>
      </c>
      <c r="E18" s="131" t="s">
        <v>12</v>
      </c>
      <c r="F18" s="132">
        <v>0.1</v>
      </c>
      <c r="G18" s="132">
        <v>0.9</v>
      </c>
      <c r="H18" s="133" t="s">
        <v>37</v>
      </c>
      <c r="I18" s="134">
        <v>5.7096414449347391E-2</v>
      </c>
      <c r="J18" s="123">
        <v>5510.0227388031308</v>
      </c>
      <c r="K18" s="128">
        <v>0</v>
      </c>
      <c r="L18" s="129" t="s">
        <v>646</v>
      </c>
      <c r="M18" s="198" t="s">
        <v>647</v>
      </c>
      <c r="N18" s="198" t="s">
        <v>381</v>
      </c>
      <c r="O18" s="198" t="s">
        <v>381</v>
      </c>
      <c r="P18" s="198" t="s">
        <v>381</v>
      </c>
      <c r="Q18" s="198" t="s">
        <v>381</v>
      </c>
      <c r="R18" s="173" t="s">
        <v>1171</v>
      </c>
      <c r="S18" s="173" t="s">
        <v>1171</v>
      </c>
      <c r="T18" s="173" t="s">
        <v>1171</v>
      </c>
      <c r="U18" s="173" t="s">
        <v>1172</v>
      </c>
      <c r="V18" s="173" t="s">
        <v>1172</v>
      </c>
      <c r="W18" s="30" t="b">
        <v>1</v>
      </c>
      <c r="X18" s="188" t="str">
        <f t="shared" si="0"/>
        <v>O-10NOx</v>
      </c>
      <c r="Y18" s="190" t="str">
        <f t="shared" si="1"/>
        <v>NA</v>
      </c>
    </row>
    <row r="19" spans="1:25" ht="21.9" x14ac:dyDescent="0.3">
      <c r="A19" s="51" t="str">
        <f>IF(ISNA(VLOOKUP(B19,Shortlist_xref!$A$5:$B$77,2,FALSE))=TRUE,"-",VLOOKUP(B19,Shortlist_xref!$A$5:$B$77,2,FALSE))</f>
        <v>EmissRed</v>
      </c>
      <c r="B19" s="57" t="s">
        <v>152</v>
      </c>
      <c r="C19" s="126" t="s">
        <v>153</v>
      </c>
      <c r="D19" s="127" t="s">
        <v>154</v>
      </c>
      <c r="E19" s="131" t="s">
        <v>12</v>
      </c>
      <c r="F19" s="132">
        <v>0.5</v>
      </c>
      <c r="G19" s="132">
        <v>0.25</v>
      </c>
      <c r="H19" s="172" t="s">
        <v>648</v>
      </c>
      <c r="I19" s="134">
        <v>7.6929467630081974E-2</v>
      </c>
      <c r="J19" s="123">
        <v>10311.094936078483</v>
      </c>
      <c r="K19" s="128">
        <v>0</v>
      </c>
      <c r="L19" s="129" t="s">
        <v>649</v>
      </c>
      <c r="M19" s="198" t="s">
        <v>650</v>
      </c>
      <c r="N19" s="198" t="s">
        <v>381</v>
      </c>
      <c r="O19" s="198" t="s">
        <v>381</v>
      </c>
      <c r="P19" s="198" t="s">
        <v>381</v>
      </c>
      <c r="Q19" s="198" t="s">
        <v>381</v>
      </c>
      <c r="R19" s="173" t="s">
        <v>1171</v>
      </c>
      <c r="S19" s="173" t="s">
        <v>1171</v>
      </c>
      <c r="T19" s="173" t="s">
        <v>1171</v>
      </c>
      <c r="U19" s="173" t="s">
        <v>1172</v>
      </c>
      <c r="V19" s="173" t="s">
        <v>1172</v>
      </c>
      <c r="W19" s="30" t="b">
        <v>1</v>
      </c>
      <c r="X19" s="188" t="str">
        <f t="shared" si="0"/>
        <v>O-11NOx</v>
      </c>
      <c r="Y19" s="190" t="str">
        <f t="shared" si="1"/>
        <v>$3,822/ ton NOx</v>
      </c>
    </row>
    <row r="20" spans="1:25" x14ac:dyDescent="0.3">
      <c r="A20" s="51" t="str">
        <f>IF(ISNA(VLOOKUP(B20,Shortlist_xref!$A$5:$B$77,2,FALSE))=TRUE,"-",VLOOKUP(B20,Shortlist_xref!$A$5:$B$77,2,FALSE))</f>
        <v>EmissRed</v>
      </c>
      <c r="B20" s="57" t="s">
        <v>203</v>
      </c>
      <c r="C20" s="126" t="s">
        <v>214</v>
      </c>
      <c r="D20" s="127" t="s">
        <v>215</v>
      </c>
      <c r="E20" s="131" t="s">
        <v>12</v>
      </c>
      <c r="F20" s="132">
        <v>0.5</v>
      </c>
      <c r="G20" s="132">
        <v>7.4999999999999997E-2</v>
      </c>
      <c r="H20" s="133" t="s">
        <v>651</v>
      </c>
      <c r="I20" s="134">
        <v>9.054585578834265E-2</v>
      </c>
      <c r="J20" s="123">
        <v>3640.8424906491618</v>
      </c>
      <c r="K20" s="128">
        <v>0</v>
      </c>
      <c r="L20" s="129" t="s">
        <v>652</v>
      </c>
      <c r="M20" s="198" t="s">
        <v>653</v>
      </c>
      <c r="N20" s="198" t="s">
        <v>654</v>
      </c>
      <c r="O20" s="198" t="s">
        <v>381</v>
      </c>
      <c r="P20" s="198" t="s">
        <v>381</v>
      </c>
      <c r="Q20" s="198" t="s">
        <v>381</v>
      </c>
      <c r="R20" s="173" t="s">
        <v>1171</v>
      </c>
      <c r="S20" s="173" t="s">
        <v>1171</v>
      </c>
      <c r="T20" s="173" t="s">
        <v>1171</v>
      </c>
      <c r="U20" s="173" t="s">
        <v>1172</v>
      </c>
      <c r="V20" s="173" t="s">
        <v>1172</v>
      </c>
      <c r="W20" s="30" t="b">
        <v>1</v>
      </c>
      <c r="X20" s="188" t="str">
        <f t="shared" si="0"/>
        <v>O-12NOx</v>
      </c>
      <c r="Y20" s="190" t="str">
        <f t="shared" si="1"/>
        <v>$50,000/ton NOx</v>
      </c>
    </row>
    <row r="21" spans="1:25" x14ac:dyDescent="0.3">
      <c r="A21" s="51" t="str">
        <f>IF(ISNA(VLOOKUP(B21,Shortlist_xref!$A$5:$B$77,2,FALSE))=TRUE,"-",VLOOKUP(B21,Shortlist_xref!$A$5:$B$77,2,FALSE))</f>
        <v>-</v>
      </c>
      <c r="B21" s="57" t="s">
        <v>655</v>
      </c>
      <c r="C21" s="126" t="s">
        <v>360</v>
      </c>
      <c r="D21" s="127" t="s">
        <v>656</v>
      </c>
      <c r="E21" s="131" t="s">
        <v>12</v>
      </c>
      <c r="F21" s="132">
        <v>0.01</v>
      </c>
      <c r="G21" s="132">
        <v>0.3</v>
      </c>
      <c r="H21" s="133" t="s">
        <v>37</v>
      </c>
      <c r="I21" s="134">
        <v>7.2076661475179771E-2</v>
      </c>
      <c r="J21" s="123">
        <v>231.85579894138485</v>
      </c>
      <c r="K21" s="128">
        <v>0</v>
      </c>
      <c r="L21" s="129" t="s">
        <v>613</v>
      </c>
      <c r="M21" s="198" t="s">
        <v>614</v>
      </c>
      <c r="N21" s="198" t="s">
        <v>381</v>
      </c>
      <c r="O21" s="198" t="s">
        <v>381</v>
      </c>
      <c r="P21" s="198" t="s">
        <v>381</v>
      </c>
      <c r="Q21" s="198" t="s">
        <v>381</v>
      </c>
      <c r="R21" s="173" t="s">
        <v>1171</v>
      </c>
      <c r="S21" s="173" t="s">
        <v>1171</v>
      </c>
      <c r="T21" s="173" t="s">
        <v>1171</v>
      </c>
      <c r="U21" s="173" t="s">
        <v>1172</v>
      </c>
      <c r="V21" s="173" t="s">
        <v>1172</v>
      </c>
      <c r="W21" s="30" t="b">
        <v>1</v>
      </c>
      <c r="X21" s="188" t="str">
        <f t="shared" si="0"/>
        <v>O-13NOx</v>
      </c>
      <c r="Y21" s="190" t="str">
        <f t="shared" si="1"/>
        <v>NA</v>
      </c>
    </row>
    <row r="22" spans="1:25" x14ac:dyDescent="0.3">
      <c r="A22" s="51" t="str">
        <f>IF(ISNA(VLOOKUP(B22,Shortlist_xref!$A$5:$B$77,2,FALSE))=TRUE,"-",VLOOKUP(B22,Shortlist_xref!$A$5:$B$77,2,FALSE))</f>
        <v>-</v>
      </c>
      <c r="B22" s="57" t="s">
        <v>655</v>
      </c>
      <c r="C22" s="126" t="s">
        <v>360</v>
      </c>
      <c r="D22" s="127" t="s">
        <v>656</v>
      </c>
      <c r="E22" s="131" t="s">
        <v>53</v>
      </c>
      <c r="F22" s="132">
        <v>0.01</v>
      </c>
      <c r="G22" s="132">
        <v>7.4999999999999997E-2</v>
      </c>
      <c r="H22" s="133" t="s">
        <v>37</v>
      </c>
      <c r="I22" s="134">
        <v>4.7273164268697406E-3</v>
      </c>
      <c r="J22" s="123">
        <v>5.3487241940378647</v>
      </c>
      <c r="K22" s="128">
        <v>0</v>
      </c>
      <c r="L22" s="129" t="s">
        <v>613</v>
      </c>
      <c r="M22" s="198" t="s">
        <v>614</v>
      </c>
      <c r="N22" s="198" t="s">
        <v>381</v>
      </c>
      <c r="O22" s="198" t="s">
        <v>381</v>
      </c>
      <c r="P22" s="198" t="s">
        <v>381</v>
      </c>
      <c r="Q22" s="198" t="s">
        <v>381</v>
      </c>
      <c r="R22" s="173" t="s">
        <v>1171</v>
      </c>
      <c r="S22" s="173" t="s">
        <v>1171</v>
      </c>
      <c r="T22" s="173" t="s">
        <v>1171</v>
      </c>
      <c r="U22" s="173" t="s">
        <v>1172</v>
      </c>
      <c r="V22" s="173" t="s">
        <v>1172</v>
      </c>
      <c r="W22" s="30" t="b">
        <v>1</v>
      </c>
      <c r="X22" s="188" t="str">
        <f t="shared" si="0"/>
        <v>O-13VOC</v>
      </c>
      <c r="Y22" s="190" t="str">
        <f t="shared" si="1"/>
        <v>NA</v>
      </c>
    </row>
    <row r="23" spans="1:25" x14ac:dyDescent="0.3">
      <c r="A23" s="51" t="str">
        <f>IF(ISNA(VLOOKUP(B23,Shortlist_xref!$A$5:$B$77,2,FALSE))=TRUE,"-",VLOOKUP(B23,Shortlist_xref!$A$5:$B$77,2,FALSE))</f>
        <v>-</v>
      </c>
      <c r="B23" s="57" t="s">
        <v>657</v>
      </c>
      <c r="C23" s="126" t="s">
        <v>658</v>
      </c>
      <c r="D23" s="127" t="s">
        <v>659</v>
      </c>
      <c r="E23" s="131" t="s">
        <v>12</v>
      </c>
      <c r="F23" s="132">
        <v>0.01</v>
      </c>
      <c r="G23" s="132">
        <v>0.27</v>
      </c>
      <c r="H23" s="133" t="s">
        <v>660</v>
      </c>
      <c r="I23" s="134">
        <v>7.2076661475179771E-2</v>
      </c>
      <c r="J23" s="123">
        <v>208.67021904724641</v>
      </c>
      <c r="K23" s="128">
        <v>0</v>
      </c>
      <c r="L23" s="129" t="s">
        <v>613</v>
      </c>
      <c r="M23" s="198" t="s">
        <v>614</v>
      </c>
      <c r="N23" s="198" t="s">
        <v>381</v>
      </c>
      <c r="O23" s="198" t="s">
        <v>381</v>
      </c>
      <c r="P23" s="198" t="s">
        <v>381</v>
      </c>
      <c r="Q23" s="198" t="s">
        <v>381</v>
      </c>
      <c r="R23" s="173" t="s">
        <v>1171</v>
      </c>
      <c r="S23" s="173" t="s">
        <v>1171</v>
      </c>
      <c r="T23" s="173" t="s">
        <v>1171</v>
      </c>
      <c r="U23" s="173" t="s">
        <v>1172</v>
      </c>
      <c r="V23" s="173" t="s">
        <v>1172</v>
      </c>
      <c r="W23" s="30" t="b">
        <v>1</v>
      </c>
      <c r="X23" s="188" t="str">
        <f t="shared" si="0"/>
        <v>O-14NOx</v>
      </c>
      <c r="Y23" s="190" t="str">
        <f t="shared" si="1"/>
        <v>$25,627/ ton NOx</v>
      </c>
    </row>
    <row r="24" spans="1:25" x14ac:dyDescent="0.3">
      <c r="A24" s="51" t="str">
        <f>IF(ISNA(VLOOKUP(B24,Shortlist_xref!$A$5:$B$77,2,FALSE))=TRUE,"-",VLOOKUP(B24,Shortlist_xref!$A$5:$B$77,2,FALSE))</f>
        <v>-</v>
      </c>
      <c r="B24" s="57" t="s">
        <v>155</v>
      </c>
      <c r="C24" s="126" t="s">
        <v>661</v>
      </c>
      <c r="D24" s="127" t="s">
        <v>662</v>
      </c>
      <c r="E24" s="131" t="s">
        <v>12</v>
      </c>
      <c r="F24" s="132">
        <v>0.5</v>
      </c>
      <c r="G24" s="132">
        <v>0.21500000000000002</v>
      </c>
      <c r="H24" s="133" t="s">
        <v>663</v>
      </c>
      <c r="I24" s="134">
        <v>1.1519701654541368E-2</v>
      </c>
      <c r="J24" s="123">
        <v>1327.8583266835597</v>
      </c>
      <c r="K24" s="128">
        <v>0</v>
      </c>
      <c r="L24" s="129" t="s">
        <v>613</v>
      </c>
      <c r="M24" s="198" t="s">
        <v>614</v>
      </c>
      <c r="N24" s="198" t="s">
        <v>381</v>
      </c>
      <c r="O24" s="198" t="s">
        <v>381</v>
      </c>
      <c r="P24" s="198" t="s">
        <v>381</v>
      </c>
      <c r="Q24" s="198" t="s">
        <v>381</v>
      </c>
      <c r="R24" s="173" t="s">
        <v>1171</v>
      </c>
      <c r="S24" s="173" t="s">
        <v>1171</v>
      </c>
      <c r="T24" s="173" t="s">
        <v>1171</v>
      </c>
      <c r="U24" s="173" t="s">
        <v>1172</v>
      </c>
      <c r="V24" s="173" t="s">
        <v>1172</v>
      </c>
      <c r="W24" s="30" t="b">
        <v>1</v>
      </c>
      <c r="X24" s="188" t="str">
        <f t="shared" si="0"/>
        <v>O-15NOx</v>
      </c>
      <c r="Y24" s="190" t="str">
        <f t="shared" si="1"/>
        <v>$15,751/ ton NOx</v>
      </c>
    </row>
    <row r="25" spans="1:25" ht="26.5" x14ac:dyDescent="0.3">
      <c r="A25" s="51" t="str">
        <f>IF(ISNA(VLOOKUP(B25,Shortlist_xref!$A$5:$B$77,2,FALSE))=TRUE,"-",VLOOKUP(B25,Shortlist_xref!$A$5:$B$77,2,FALSE))</f>
        <v>EmissRed</v>
      </c>
      <c r="B25" s="57" t="s">
        <v>156</v>
      </c>
      <c r="C25" s="126" t="s">
        <v>157</v>
      </c>
      <c r="D25" s="127" t="s">
        <v>158</v>
      </c>
      <c r="E25" s="131" t="s">
        <v>12</v>
      </c>
      <c r="F25" s="132">
        <v>0.1</v>
      </c>
      <c r="G25" s="132">
        <v>0.31</v>
      </c>
      <c r="H25" s="133" t="s">
        <v>664</v>
      </c>
      <c r="I25" s="134">
        <v>7.2076661475179771E-2</v>
      </c>
      <c r="J25" s="123">
        <v>2395.8432557276437</v>
      </c>
      <c r="K25" s="128" t="s">
        <v>665</v>
      </c>
      <c r="L25" s="129" t="s">
        <v>666</v>
      </c>
      <c r="M25" s="198" t="s">
        <v>625</v>
      </c>
      <c r="N25" s="198" t="s">
        <v>667</v>
      </c>
      <c r="O25" s="198" t="s">
        <v>381</v>
      </c>
      <c r="P25" s="198" t="s">
        <v>381</v>
      </c>
      <c r="Q25" s="198" t="s">
        <v>381</v>
      </c>
      <c r="R25" s="173" t="s">
        <v>1171</v>
      </c>
      <c r="S25" s="173" t="s">
        <v>1171</v>
      </c>
      <c r="T25" s="173" t="s">
        <v>1171</v>
      </c>
      <c r="U25" s="173" t="s">
        <v>1172</v>
      </c>
      <c r="V25" s="173" t="s">
        <v>1172</v>
      </c>
      <c r="W25" s="30" t="b">
        <v>1</v>
      </c>
      <c r="X25" s="188" t="str">
        <f t="shared" si="0"/>
        <v>O-16NOx</v>
      </c>
      <c r="Y25" s="190" t="str">
        <f t="shared" si="1"/>
        <v>$80,506 /ton NOx</v>
      </c>
    </row>
    <row r="26" spans="1:25" ht="32.85" x14ac:dyDescent="0.3">
      <c r="A26" s="51" t="str">
        <f>IF(ISNA(VLOOKUP(B26,Shortlist_xref!$A$5:$B$77,2,FALSE))=TRUE,"-",VLOOKUP(B26,Shortlist_xref!$A$5:$B$77,2,FALSE))</f>
        <v>EmissRed</v>
      </c>
      <c r="B26" s="57" t="s">
        <v>204</v>
      </c>
      <c r="C26" s="126" t="s">
        <v>216</v>
      </c>
      <c r="D26" s="127" t="s">
        <v>217</v>
      </c>
      <c r="E26" s="131" t="s">
        <v>12</v>
      </c>
      <c r="F26" s="132">
        <v>0.1</v>
      </c>
      <c r="G26" s="132">
        <v>0.27</v>
      </c>
      <c r="H26" s="133" t="s">
        <v>668</v>
      </c>
      <c r="I26" s="134">
        <v>5.7096414449347391E-2</v>
      </c>
      <c r="J26" s="123">
        <v>1653.0068216409393</v>
      </c>
      <c r="K26" s="128">
        <v>0</v>
      </c>
      <c r="L26" s="129" t="s">
        <v>669</v>
      </c>
      <c r="M26" s="198" t="s">
        <v>670</v>
      </c>
      <c r="N26" s="198" t="s">
        <v>671</v>
      </c>
      <c r="O26" s="198" t="s">
        <v>672</v>
      </c>
      <c r="P26" s="198" t="s">
        <v>381</v>
      </c>
      <c r="Q26" s="198" t="s">
        <v>381</v>
      </c>
      <c r="R26" s="173" t="s">
        <v>1171</v>
      </c>
      <c r="S26" s="173" t="s">
        <v>1171</v>
      </c>
      <c r="T26" s="173" t="s">
        <v>1171</v>
      </c>
      <c r="U26" s="173" t="s">
        <v>1172</v>
      </c>
      <c r="V26" s="173" t="s">
        <v>1172</v>
      </c>
      <c r="W26" s="30" t="b">
        <v>1</v>
      </c>
      <c r="X26" s="188" t="str">
        <f t="shared" si="0"/>
        <v>O-17NOx</v>
      </c>
      <c r="Y26" s="190" t="str">
        <f t="shared" si="1"/>
        <v>$17,000/ ton NOx</v>
      </c>
    </row>
    <row r="27" spans="1:25" ht="32.85" x14ac:dyDescent="0.3">
      <c r="A27" s="51" t="str">
        <f>IF(ISNA(VLOOKUP(B27,Shortlist_xref!$A$5:$B$77,2,FALSE))=TRUE,"-",VLOOKUP(B27,Shortlist_xref!$A$5:$B$77,2,FALSE))</f>
        <v>-</v>
      </c>
      <c r="B27" s="57" t="s">
        <v>673</v>
      </c>
      <c r="C27" s="126" t="s">
        <v>674</v>
      </c>
      <c r="D27" s="127" t="s">
        <v>675</v>
      </c>
      <c r="E27" s="131" t="s">
        <v>12</v>
      </c>
      <c r="F27" s="132">
        <v>0.01</v>
      </c>
      <c r="G27" s="132">
        <v>0.03</v>
      </c>
      <c r="H27" s="133" t="s">
        <v>668</v>
      </c>
      <c r="I27" s="134">
        <v>5.7096414449347391E-2</v>
      </c>
      <c r="J27" s="123">
        <v>18.366742462677099</v>
      </c>
      <c r="K27" s="128">
        <v>0</v>
      </c>
      <c r="L27" s="129" t="s">
        <v>669</v>
      </c>
      <c r="M27" s="198" t="s">
        <v>676</v>
      </c>
      <c r="N27" s="198" t="s">
        <v>677</v>
      </c>
      <c r="O27" s="198" t="s">
        <v>381</v>
      </c>
      <c r="P27" s="198"/>
      <c r="Q27" s="198"/>
      <c r="R27" s="173" t="s">
        <v>1171</v>
      </c>
      <c r="S27" s="173" t="s">
        <v>1171</v>
      </c>
      <c r="T27" s="173" t="s">
        <v>1171</v>
      </c>
      <c r="U27" s="173" t="s">
        <v>1172</v>
      </c>
      <c r="V27" s="173" t="s">
        <v>1172</v>
      </c>
      <c r="W27" s="30" t="b">
        <v>1</v>
      </c>
      <c r="X27" s="188" t="str">
        <f t="shared" si="0"/>
        <v>O-18NOx</v>
      </c>
      <c r="Y27" s="190" t="str">
        <f t="shared" si="1"/>
        <v>$17,000/ ton NOx</v>
      </c>
    </row>
    <row r="28" spans="1:25" x14ac:dyDescent="0.3">
      <c r="A28" s="51" t="str">
        <f>IF(ISNA(VLOOKUP(B28,Shortlist_xref!$A$5:$B$77,2,FALSE))=TRUE,"-",VLOOKUP(B28,Shortlist_xref!$A$5:$B$77,2,FALSE))</f>
        <v>-</v>
      </c>
      <c r="B28" s="57" t="s">
        <v>678</v>
      </c>
      <c r="C28" s="126" t="s">
        <v>679</v>
      </c>
      <c r="D28" s="127" t="s">
        <v>680</v>
      </c>
      <c r="E28" s="131" t="s">
        <v>12</v>
      </c>
      <c r="F28" s="132" t="s">
        <v>37</v>
      </c>
      <c r="G28" s="132" t="s">
        <v>37</v>
      </c>
      <c r="H28" s="133" t="s">
        <v>37</v>
      </c>
      <c r="I28" s="134">
        <v>1.773152419309318E-3</v>
      </c>
      <c r="J28" s="123" t="s">
        <v>37</v>
      </c>
      <c r="K28" s="128">
        <v>0</v>
      </c>
      <c r="L28" s="129" t="s">
        <v>681</v>
      </c>
      <c r="M28" s="198" t="s">
        <v>682</v>
      </c>
      <c r="N28" s="199" t="s">
        <v>683</v>
      </c>
      <c r="O28" s="198"/>
      <c r="P28" s="198"/>
      <c r="Q28" s="198"/>
      <c r="R28" s="173" t="s">
        <v>1171</v>
      </c>
      <c r="S28" s="173" t="s">
        <v>1171</v>
      </c>
      <c r="T28" s="173" t="s">
        <v>1171</v>
      </c>
      <c r="U28" s="173" t="s">
        <v>1171</v>
      </c>
      <c r="V28" s="173" t="s">
        <v>1171</v>
      </c>
      <c r="W28" s="30" t="b">
        <v>1</v>
      </c>
      <c r="X28" s="188" t="str">
        <f t="shared" si="0"/>
        <v>O-20, O-21NOx</v>
      </c>
      <c r="Y28" s="190" t="str">
        <f t="shared" si="1"/>
        <v>NA</v>
      </c>
    </row>
    <row r="29" spans="1:25" x14ac:dyDescent="0.3">
      <c r="A29" s="51" t="str">
        <f>IF(ISNA(VLOOKUP(B29,Shortlist_xref!$A$5:$B$77,2,FALSE))=TRUE,"-",VLOOKUP(B29,Shortlist_xref!$A$5:$B$77,2,FALSE))</f>
        <v>-</v>
      </c>
      <c r="B29" s="57" t="s">
        <v>684</v>
      </c>
      <c r="C29" s="126" t="s">
        <v>685</v>
      </c>
      <c r="D29" s="127" t="s">
        <v>686</v>
      </c>
      <c r="E29" s="131" t="s">
        <v>12</v>
      </c>
      <c r="F29" s="132">
        <v>0.01</v>
      </c>
      <c r="G29" s="132">
        <v>0.25</v>
      </c>
      <c r="H29" s="133" t="s">
        <v>37</v>
      </c>
      <c r="I29" s="134">
        <v>1.280496666788793E-2</v>
      </c>
      <c r="J29" s="123">
        <v>34.325787252499751</v>
      </c>
      <c r="K29" s="128">
        <v>0</v>
      </c>
      <c r="L29" s="129" t="s">
        <v>687</v>
      </c>
      <c r="M29" s="198" t="s">
        <v>688</v>
      </c>
      <c r="N29" s="198" t="s">
        <v>689</v>
      </c>
      <c r="O29" s="198" t="s">
        <v>690</v>
      </c>
      <c r="P29" s="198"/>
      <c r="Q29" s="198"/>
      <c r="R29" s="173" t="s">
        <v>1171</v>
      </c>
      <c r="S29" s="173" t="s">
        <v>1171</v>
      </c>
      <c r="T29" s="173" t="s">
        <v>1171</v>
      </c>
      <c r="U29" s="173" t="s">
        <v>1172</v>
      </c>
      <c r="V29" s="173" t="s">
        <v>1172</v>
      </c>
      <c r="W29" s="30" t="b">
        <v>1</v>
      </c>
      <c r="X29" s="188" t="str">
        <f t="shared" si="0"/>
        <v>O-22, O-26NOx</v>
      </c>
      <c r="Y29" s="190" t="str">
        <f t="shared" si="1"/>
        <v>NA</v>
      </c>
    </row>
    <row r="30" spans="1:25" x14ac:dyDescent="0.3">
      <c r="A30" s="51" t="str">
        <f>IF(ISNA(VLOOKUP(B30,Shortlist_xref!$A$5:$B$77,2,FALSE))=TRUE,"-",VLOOKUP(B30,Shortlist_xref!$A$5:$B$77,2,FALSE))</f>
        <v>-</v>
      </c>
      <c r="B30" s="57" t="s">
        <v>691</v>
      </c>
      <c r="C30" s="126" t="s">
        <v>685</v>
      </c>
      <c r="D30" s="127" t="s">
        <v>692</v>
      </c>
      <c r="E30" s="131" t="s">
        <v>12</v>
      </c>
      <c r="F30" s="132" t="s">
        <v>37</v>
      </c>
      <c r="G30" s="132" t="s">
        <v>37</v>
      </c>
      <c r="H30" s="133" t="s">
        <v>37</v>
      </c>
      <c r="I30" s="134">
        <v>1.280496666788793E-2</v>
      </c>
      <c r="J30" s="123" t="s">
        <v>37</v>
      </c>
      <c r="K30" s="128">
        <v>0</v>
      </c>
      <c r="L30" s="129" t="s">
        <v>693</v>
      </c>
      <c r="M30" s="198" t="s">
        <v>694</v>
      </c>
      <c r="N30" s="198" t="s">
        <v>695</v>
      </c>
      <c r="O30" s="198" t="s">
        <v>381</v>
      </c>
      <c r="P30" s="198"/>
      <c r="Q30" s="198"/>
      <c r="R30" s="173" t="s">
        <v>1171</v>
      </c>
      <c r="S30" s="173" t="s">
        <v>1171</v>
      </c>
      <c r="T30" s="173" t="s">
        <v>1171</v>
      </c>
      <c r="U30" s="173" t="s">
        <v>1172</v>
      </c>
      <c r="V30" s="173" t="s">
        <v>1171</v>
      </c>
      <c r="W30" s="30" t="b">
        <v>1</v>
      </c>
      <c r="X30" s="188" t="str">
        <f t="shared" si="0"/>
        <v>O-23NOx</v>
      </c>
      <c r="Y30" s="190" t="str">
        <f t="shared" si="1"/>
        <v>NA</v>
      </c>
    </row>
    <row r="31" spans="1:25" x14ac:dyDescent="0.3">
      <c r="A31" s="51" t="str">
        <f>IF(ISNA(VLOOKUP(B31,Shortlist_xref!$A$5:$B$77,2,FALSE))=TRUE,"-",VLOOKUP(B31,Shortlist_xref!$A$5:$B$77,2,FALSE))</f>
        <v>-</v>
      </c>
      <c r="B31" s="57" t="s">
        <v>696</v>
      </c>
      <c r="C31" s="126" t="s">
        <v>685</v>
      </c>
      <c r="D31" s="127" t="s">
        <v>697</v>
      </c>
      <c r="E31" s="131" t="s">
        <v>12</v>
      </c>
      <c r="F31" s="132" t="s">
        <v>37</v>
      </c>
      <c r="G31" s="132" t="s">
        <v>37</v>
      </c>
      <c r="H31" s="133" t="s">
        <v>37</v>
      </c>
      <c r="I31" s="134">
        <v>1.280496666788793E-2</v>
      </c>
      <c r="J31" s="123" t="s">
        <v>37</v>
      </c>
      <c r="K31" s="128">
        <v>0</v>
      </c>
      <c r="L31" s="129" t="s">
        <v>693</v>
      </c>
      <c r="M31" s="198" t="s">
        <v>694</v>
      </c>
      <c r="N31" s="198" t="s">
        <v>695</v>
      </c>
      <c r="O31" s="198" t="s">
        <v>381</v>
      </c>
      <c r="P31" s="198" t="s">
        <v>381</v>
      </c>
      <c r="Q31" s="198" t="s">
        <v>381</v>
      </c>
      <c r="R31" s="173" t="s">
        <v>1171</v>
      </c>
      <c r="S31" s="173" t="s">
        <v>1171</v>
      </c>
      <c r="T31" s="173" t="s">
        <v>1171</v>
      </c>
      <c r="U31" s="173" t="s">
        <v>1172</v>
      </c>
      <c r="V31" s="173" t="s">
        <v>1171</v>
      </c>
      <c r="W31" s="30" t="b">
        <v>1</v>
      </c>
      <c r="X31" s="188" t="str">
        <f t="shared" si="0"/>
        <v>O-24NOx</v>
      </c>
      <c r="Y31" s="190" t="str">
        <f t="shared" si="1"/>
        <v>NA</v>
      </c>
    </row>
    <row r="32" spans="1:25" x14ac:dyDescent="0.3">
      <c r="A32" s="51" t="str">
        <f>IF(ISNA(VLOOKUP(B32,Shortlist_xref!$A$5:$B$77,2,FALSE))=TRUE,"-",VLOOKUP(B32,Shortlist_xref!$A$5:$B$77,2,FALSE))</f>
        <v>-</v>
      </c>
      <c r="B32" s="57" t="s">
        <v>698</v>
      </c>
      <c r="C32" s="126" t="s">
        <v>685</v>
      </c>
      <c r="D32" s="127" t="s">
        <v>699</v>
      </c>
      <c r="E32" s="131" t="s">
        <v>12</v>
      </c>
      <c r="F32" s="132">
        <v>0.01</v>
      </c>
      <c r="G32" s="132">
        <v>1</v>
      </c>
      <c r="H32" s="133" t="s">
        <v>37</v>
      </c>
      <c r="I32" s="134">
        <v>1.280496666788793E-2</v>
      </c>
      <c r="J32" s="123">
        <v>137.303149009999</v>
      </c>
      <c r="K32" s="128">
        <v>0</v>
      </c>
      <c r="L32" s="129" t="s">
        <v>700</v>
      </c>
      <c r="M32" s="198" t="s">
        <v>701</v>
      </c>
      <c r="N32" s="198" t="s">
        <v>381</v>
      </c>
      <c r="O32" s="198" t="s">
        <v>381</v>
      </c>
      <c r="P32" s="198" t="s">
        <v>381</v>
      </c>
      <c r="Q32" s="198" t="s">
        <v>381</v>
      </c>
      <c r="R32" s="173" t="s">
        <v>1171</v>
      </c>
      <c r="S32" s="173" t="s">
        <v>1171</v>
      </c>
      <c r="T32" s="173" t="s">
        <v>1171</v>
      </c>
      <c r="U32" s="173" t="s">
        <v>1172</v>
      </c>
      <c r="V32" s="173" t="s">
        <v>1172</v>
      </c>
      <c r="W32" s="30" t="b">
        <v>1</v>
      </c>
      <c r="X32" s="188" t="str">
        <f t="shared" si="0"/>
        <v>O-25NOx</v>
      </c>
      <c r="Y32" s="190" t="str">
        <f t="shared" si="1"/>
        <v>NA</v>
      </c>
    </row>
    <row r="33" spans="1:25" ht="21.9" x14ac:dyDescent="0.3">
      <c r="A33" s="51" t="str">
        <f>IF(ISNA(VLOOKUP(B33,Shortlist_xref!$A$5:$B$77,2,FALSE))=TRUE,"-",VLOOKUP(B33,Shortlist_xref!$A$5:$B$77,2,FALSE))</f>
        <v>-</v>
      </c>
      <c r="B33" s="57" t="s">
        <v>702</v>
      </c>
      <c r="C33" s="126" t="s">
        <v>157</v>
      </c>
      <c r="D33" s="127" t="s">
        <v>703</v>
      </c>
      <c r="E33" s="131" t="s">
        <v>12</v>
      </c>
      <c r="F33" s="132">
        <v>0.01</v>
      </c>
      <c r="G33" s="132">
        <v>0.3</v>
      </c>
      <c r="H33" s="133" t="s">
        <v>704</v>
      </c>
      <c r="I33" s="134">
        <v>7.2076661475179771E-2</v>
      </c>
      <c r="J33" s="123">
        <v>231.85579894138485</v>
      </c>
      <c r="K33" s="128" t="s">
        <v>705</v>
      </c>
      <c r="L33" s="129" t="s">
        <v>706</v>
      </c>
      <c r="M33" s="198" t="s">
        <v>707</v>
      </c>
      <c r="N33" s="198" t="s">
        <v>381</v>
      </c>
      <c r="O33" s="198" t="s">
        <v>381</v>
      </c>
      <c r="P33" s="198" t="s">
        <v>381</v>
      </c>
      <c r="Q33" s="198" t="s">
        <v>381</v>
      </c>
      <c r="R33" s="173" t="s">
        <v>1171</v>
      </c>
      <c r="S33" s="173" t="s">
        <v>1171</v>
      </c>
      <c r="T33" s="173" t="s">
        <v>1171</v>
      </c>
      <c r="U33" s="173" t="s">
        <v>1172</v>
      </c>
      <c r="V33" s="173" t="s">
        <v>1172</v>
      </c>
      <c r="W33" s="30" t="b">
        <v>1</v>
      </c>
      <c r="X33" s="188" t="str">
        <f t="shared" si="0"/>
        <v>O-27NOx</v>
      </c>
      <c r="Y33" s="190" t="str">
        <f t="shared" si="1"/>
        <v>$20,000 NOx+PM combined</v>
      </c>
    </row>
    <row r="34" spans="1:25" ht="21.9" x14ac:dyDescent="0.3">
      <c r="A34" s="51" t="str">
        <f>IF(ISNA(VLOOKUP(B34,Shortlist_xref!$A$5:$B$77,2,FALSE))=TRUE,"-",VLOOKUP(B34,Shortlist_xref!$A$5:$B$77,2,FALSE))</f>
        <v>-</v>
      </c>
      <c r="B34" s="57" t="s">
        <v>702</v>
      </c>
      <c r="C34" s="126" t="s">
        <v>157</v>
      </c>
      <c r="D34" s="127" t="s">
        <v>703</v>
      </c>
      <c r="E34" s="131" t="s">
        <v>53</v>
      </c>
      <c r="F34" s="132">
        <v>0.01</v>
      </c>
      <c r="G34" s="132">
        <v>0.2</v>
      </c>
      <c r="H34" s="133" t="s">
        <v>37</v>
      </c>
      <c r="I34" s="134">
        <v>4.7273164268697406E-3</v>
      </c>
      <c r="J34" s="123">
        <v>14.263264517434306</v>
      </c>
      <c r="K34" s="128" t="s">
        <v>708</v>
      </c>
      <c r="L34" s="129" t="s">
        <v>706</v>
      </c>
      <c r="M34" s="198" t="s">
        <v>707</v>
      </c>
      <c r="N34" s="198" t="s">
        <v>381</v>
      </c>
      <c r="O34" s="198" t="s">
        <v>381</v>
      </c>
      <c r="P34" s="198" t="s">
        <v>381</v>
      </c>
      <c r="Q34" s="198" t="s">
        <v>381</v>
      </c>
      <c r="R34" s="173" t="s">
        <v>1171</v>
      </c>
      <c r="S34" s="173" t="s">
        <v>1171</v>
      </c>
      <c r="T34" s="173" t="s">
        <v>1171</v>
      </c>
      <c r="U34" s="173" t="s">
        <v>1172</v>
      </c>
      <c r="V34" s="173" t="s">
        <v>1172</v>
      </c>
      <c r="W34" s="30" t="b">
        <v>1</v>
      </c>
      <c r="X34" s="188" t="str">
        <f t="shared" si="0"/>
        <v>O-27VOC</v>
      </c>
      <c r="Y34" s="190" t="str">
        <f t="shared" si="1"/>
        <v>NA</v>
      </c>
    </row>
    <row r="35" spans="1:25" ht="39.75" x14ac:dyDescent="0.3">
      <c r="A35" s="51" t="str">
        <f>IF(ISNA(VLOOKUP(B35,Shortlist_xref!$A$5:$B$77,2,FALSE))=TRUE,"-",VLOOKUP(B35,Shortlist_xref!$A$5:$B$77,2,FALSE))</f>
        <v>-</v>
      </c>
      <c r="B35" s="57" t="s">
        <v>709</v>
      </c>
      <c r="C35" s="126" t="s">
        <v>710</v>
      </c>
      <c r="D35" s="127" t="s">
        <v>711</v>
      </c>
      <c r="E35" s="131" t="s">
        <v>12</v>
      </c>
      <c r="F35" s="132" t="s">
        <v>37</v>
      </c>
      <c r="G35" s="132" t="s">
        <v>37</v>
      </c>
      <c r="H35" s="133" t="s">
        <v>712</v>
      </c>
      <c r="I35" s="134">
        <v>9.7099050388806151E-4</v>
      </c>
      <c r="J35" s="123" t="s">
        <v>37</v>
      </c>
      <c r="K35" s="128" t="s">
        <v>713</v>
      </c>
      <c r="L35" s="129" t="s">
        <v>714</v>
      </c>
      <c r="M35" s="198" t="s">
        <v>715</v>
      </c>
      <c r="N35" s="198" t="s">
        <v>381</v>
      </c>
      <c r="O35" s="198" t="s">
        <v>381</v>
      </c>
      <c r="P35" s="198" t="s">
        <v>381</v>
      </c>
      <c r="Q35" s="198" t="s">
        <v>381</v>
      </c>
      <c r="R35" s="173" t="s">
        <v>1171</v>
      </c>
      <c r="S35" s="173" t="s">
        <v>1171</v>
      </c>
      <c r="T35" s="173" t="s">
        <v>1171</v>
      </c>
      <c r="U35" s="173" t="s">
        <v>1172</v>
      </c>
      <c r="V35" s="173" t="s">
        <v>1171</v>
      </c>
      <c r="W35" s="30" t="b">
        <v>1</v>
      </c>
      <c r="X35" s="188" t="str">
        <f t="shared" si="0"/>
        <v>O-28NOx</v>
      </c>
      <c r="Y35" s="190" t="str">
        <f t="shared" si="1"/>
        <v>$133,900 per ton NOx+VOC+CO combined over first three compliance year</v>
      </c>
    </row>
    <row r="36" spans="1:25" ht="39.75" x14ac:dyDescent="0.3">
      <c r="A36" s="51" t="str">
        <f>IF(ISNA(VLOOKUP(B36,Shortlist_xref!$A$5:$B$77,2,FALSE))=TRUE,"-",VLOOKUP(B36,Shortlist_xref!$A$5:$B$77,2,FALSE))</f>
        <v>-</v>
      </c>
      <c r="B36" s="57" t="s">
        <v>709</v>
      </c>
      <c r="C36" s="126" t="s">
        <v>710</v>
      </c>
      <c r="D36" s="127" t="s">
        <v>711</v>
      </c>
      <c r="E36" s="131" t="s">
        <v>53</v>
      </c>
      <c r="F36" s="132" t="s">
        <v>37</v>
      </c>
      <c r="G36" s="132" t="s">
        <v>37</v>
      </c>
      <c r="H36" s="133" t="s">
        <v>712</v>
      </c>
      <c r="I36" s="134">
        <v>8.5013330242014772E-4</v>
      </c>
      <c r="J36" s="123" t="s">
        <v>37</v>
      </c>
      <c r="K36" s="128" t="s">
        <v>713</v>
      </c>
      <c r="L36" s="129" t="s">
        <v>714</v>
      </c>
      <c r="M36" s="198" t="s">
        <v>715</v>
      </c>
      <c r="N36" s="198" t="s">
        <v>381</v>
      </c>
      <c r="O36" s="198" t="s">
        <v>381</v>
      </c>
      <c r="P36" s="198" t="s">
        <v>381</v>
      </c>
      <c r="Q36" s="198" t="s">
        <v>381</v>
      </c>
      <c r="R36" s="173" t="s">
        <v>1171</v>
      </c>
      <c r="S36" s="173" t="s">
        <v>1171</v>
      </c>
      <c r="T36" s="173" t="s">
        <v>1171</v>
      </c>
      <c r="U36" s="173" t="s">
        <v>1172</v>
      </c>
      <c r="V36" s="173" t="s">
        <v>1171</v>
      </c>
      <c r="W36" s="30" t="b">
        <v>1</v>
      </c>
      <c r="X36" s="188" t="str">
        <f t="shared" si="0"/>
        <v>O-28VOC</v>
      </c>
      <c r="Y36" s="190" t="str">
        <f t="shared" si="1"/>
        <v>$133,900 per ton NOx+VOC+CO combined over first three compliance year</v>
      </c>
    </row>
    <row r="37" spans="1:25" ht="39.75" x14ac:dyDescent="0.3">
      <c r="A37" s="51" t="str">
        <f>IF(ISNA(VLOOKUP(B37,Shortlist_xref!$A$5:$B$77,2,FALSE))=TRUE,"-",VLOOKUP(B37,Shortlist_xref!$A$5:$B$77,2,FALSE))</f>
        <v>-</v>
      </c>
      <c r="B37" s="57" t="s">
        <v>716</v>
      </c>
      <c r="C37" s="126" t="s">
        <v>717</v>
      </c>
      <c r="D37" s="127" t="s">
        <v>718</v>
      </c>
      <c r="E37" s="131" t="s">
        <v>12</v>
      </c>
      <c r="F37" s="132">
        <v>0.1</v>
      </c>
      <c r="G37" s="132">
        <v>0.9</v>
      </c>
      <c r="H37" s="133" t="s">
        <v>719</v>
      </c>
      <c r="I37" s="134">
        <v>8.2820400912091358E-4</v>
      </c>
      <c r="J37" s="123">
        <v>79.924859846892005</v>
      </c>
      <c r="K37" s="128" t="s">
        <v>720</v>
      </c>
      <c r="L37" s="129" t="s">
        <v>721</v>
      </c>
      <c r="M37" s="198" t="s">
        <v>722</v>
      </c>
      <c r="N37" s="198" t="s">
        <v>381</v>
      </c>
      <c r="O37" s="198" t="s">
        <v>381</v>
      </c>
      <c r="P37" s="198" t="s">
        <v>381</v>
      </c>
      <c r="Q37" s="198" t="s">
        <v>381</v>
      </c>
      <c r="R37" s="173" t="s">
        <v>1172</v>
      </c>
      <c r="S37" s="173" t="s">
        <v>1172</v>
      </c>
      <c r="T37" s="173" t="s">
        <v>1171</v>
      </c>
      <c r="U37" s="173" t="s">
        <v>1172</v>
      </c>
      <c r="V37" s="173" t="s">
        <v>1172</v>
      </c>
      <c r="W37" s="30" t="b">
        <v>1</v>
      </c>
      <c r="X37" s="188" t="str">
        <f t="shared" si="0"/>
        <v>O-29NOx</v>
      </c>
      <c r="Y37" s="190" t="str">
        <f t="shared" si="1"/>
        <v>$15,000 NOx+PM combined</v>
      </c>
    </row>
    <row r="38" spans="1:25" ht="39.75" x14ac:dyDescent="0.3">
      <c r="A38" s="51" t="str">
        <f>IF(ISNA(VLOOKUP(B38,Shortlist_xref!$A$5:$B$77,2,FALSE))=TRUE,"-",VLOOKUP(B38,Shortlist_xref!$A$5:$B$77,2,FALSE))</f>
        <v>-</v>
      </c>
      <c r="B38" s="57" t="s">
        <v>723</v>
      </c>
      <c r="C38" s="126" t="s">
        <v>724</v>
      </c>
      <c r="D38" s="127" t="s">
        <v>725</v>
      </c>
      <c r="E38" s="131" t="s">
        <v>12</v>
      </c>
      <c r="F38" s="132">
        <v>0.1</v>
      </c>
      <c r="G38" s="132">
        <v>0.9</v>
      </c>
      <c r="H38" s="133" t="s">
        <v>726</v>
      </c>
      <c r="I38" s="134">
        <v>6.4206380637781273E-4</v>
      </c>
      <c r="J38" s="123">
        <v>61.961617152733062</v>
      </c>
      <c r="K38" s="128" t="s">
        <v>727</v>
      </c>
      <c r="L38" s="129" t="s">
        <v>728</v>
      </c>
      <c r="M38" s="198" t="s">
        <v>729</v>
      </c>
      <c r="N38" s="198" t="s">
        <v>381</v>
      </c>
      <c r="O38" s="198" t="s">
        <v>381</v>
      </c>
      <c r="P38" s="198" t="s">
        <v>381</v>
      </c>
      <c r="Q38" s="198" t="s">
        <v>381</v>
      </c>
      <c r="R38" s="173" t="s">
        <v>1172</v>
      </c>
      <c r="S38" s="173" t="s">
        <v>1172</v>
      </c>
      <c r="T38" s="173" t="s">
        <v>1171</v>
      </c>
      <c r="U38" s="173" t="s">
        <v>1172</v>
      </c>
      <c r="V38" s="173" t="s">
        <v>1172</v>
      </c>
      <c r="W38" s="30" t="b">
        <v>1</v>
      </c>
      <c r="X38" s="188" t="str">
        <f t="shared" si="0"/>
        <v>O-30NOx</v>
      </c>
      <c r="Y38" s="190" t="str">
        <f t="shared" si="1"/>
        <v>$25,000 tons NOx+VOC combined</v>
      </c>
    </row>
    <row r="39" spans="1:25" ht="43.8" customHeight="1" x14ac:dyDescent="0.3">
      <c r="A39" s="51" t="str">
        <f>IF(ISNA(VLOOKUP(B39,Shortlist_xref!$A$5:$B$77,2,FALSE))=TRUE,"-",VLOOKUP(B39,Shortlist_xref!$A$5:$B$77,2,FALSE))</f>
        <v>CE</v>
      </c>
      <c r="B39" s="57" t="s">
        <v>205</v>
      </c>
      <c r="C39" s="126" t="s">
        <v>218</v>
      </c>
      <c r="D39" s="127" t="s">
        <v>219</v>
      </c>
      <c r="E39" s="131" t="s">
        <v>12</v>
      </c>
      <c r="F39" s="132" t="s">
        <v>37</v>
      </c>
      <c r="G39" s="132" t="s">
        <v>37</v>
      </c>
      <c r="H39" s="133" t="s">
        <v>730</v>
      </c>
      <c r="I39" s="134">
        <v>0</v>
      </c>
      <c r="J39" s="123" t="s">
        <v>37</v>
      </c>
      <c r="K39" s="128" t="s">
        <v>731</v>
      </c>
      <c r="L39" s="129" t="s">
        <v>732</v>
      </c>
      <c r="M39" s="198" t="s">
        <v>733</v>
      </c>
      <c r="N39" s="198" t="s">
        <v>381</v>
      </c>
      <c r="O39" s="198" t="s">
        <v>381</v>
      </c>
      <c r="P39" s="198" t="s">
        <v>381</v>
      </c>
      <c r="Q39" s="198" t="s">
        <v>381</v>
      </c>
      <c r="R39" s="173" t="s">
        <v>1171</v>
      </c>
      <c r="S39" s="173" t="s">
        <v>1171</v>
      </c>
      <c r="T39" s="173" t="s">
        <v>1171</v>
      </c>
      <c r="U39" s="173" t="s">
        <v>1172</v>
      </c>
      <c r="V39" s="173" t="s">
        <v>1171</v>
      </c>
      <c r="W39" s="30" t="b">
        <v>1</v>
      </c>
      <c r="X39" s="188" t="str">
        <f t="shared" si="0"/>
        <v>O-31NOx</v>
      </c>
      <c r="Y39" s="190" t="str">
        <f t="shared" si="1"/>
        <v>$2,690 combined NOx+VOC+PM+CO</v>
      </c>
    </row>
    <row r="40" spans="1:25" ht="53" x14ac:dyDescent="0.3">
      <c r="A40" s="51" t="str">
        <f>IF(ISNA(VLOOKUP(B40,Shortlist_xref!$A$5:$B$77,2,FALSE))=TRUE,"-",VLOOKUP(B40,Shortlist_xref!$A$5:$B$77,2,FALSE))</f>
        <v>CE</v>
      </c>
      <c r="B40" s="57" t="s">
        <v>205</v>
      </c>
      <c r="C40" s="126" t="s">
        <v>218</v>
      </c>
      <c r="D40" s="127" t="s">
        <v>219</v>
      </c>
      <c r="E40" s="131" t="s">
        <v>53</v>
      </c>
      <c r="F40" s="132" t="s">
        <v>37</v>
      </c>
      <c r="G40" s="132" t="s">
        <v>37</v>
      </c>
      <c r="H40" s="133" t="s">
        <v>730</v>
      </c>
      <c r="I40" s="134">
        <v>0</v>
      </c>
      <c r="J40" s="123" t="s">
        <v>37</v>
      </c>
      <c r="K40" s="128" t="s">
        <v>731</v>
      </c>
      <c r="L40" s="129" t="s">
        <v>732</v>
      </c>
      <c r="M40" s="198" t="s">
        <v>733</v>
      </c>
      <c r="N40" s="198" t="s">
        <v>381</v>
      </c>
      <c r="O40" s="198" t="s">
        <v>381</v>
      </c>
      <c r="P40" s="198" t="s">
        <v>381</v>
      </c>
      <c r="Q40" s="198" t="s">
        <v>381</v>
      </c>
      <c r="R40" s="173" t="s">
        <v>1171</v>
      </c>
      <c r="S40" s="173" t="s">
        <v>1171</v>
      </c>
      <c r="T40" s="173" t="s">
        <v>1171</v>
      </c>
      <c r="U40" s="173" t="s">
        <v>1172</v>
      </c>
      <c r="V40" s="173" t="s">
        <v>1171</v>
      </c>
      <c r="W40" s="30" t="b">
        <v>1</v>
      </c>
      <c r="X40" s="188" t="str">
        <f t="shared" si="0"/>
        <v>O-31VOC</v>
      </c>
      <c r="Y40" s="190" t="str">
        <f t="shared" si="1"/>
        <v>$2,690 combined NOx+VOC+PM+CO</v>
      </c>
    </row>
    <row r="41" spans="1:25" ht="39.75" x14ac:dyDescent="0.3">
      <c r="A41" s="51" t="str">
        <f>IF(ISNA(VLOOKUP(B41,Shortlist_xref!$A$5:$B$77,2,FALSE))=TRUE,"-",VLOOKUP(B41,Shortlist_xref!$A$5:$B$77,2,FALSE))</f>
        <v>-</v>
      </c>
      <c r="B41" s="57" t="s">
        <v>734</v>
      </c>
      <c r="C41" s="126" t="s">
        <v>735</v>
      </c>
      <c r="D41" s="127" t="s">
        <v>736</v>
      </c>
      <c r="E41" s="131" t="s">
        <v>12</v>
      </c>
      <c r="F41" s="132" t="s">
        <v>37</v>
      </c>
      <c r="G41" s="132" t="s">
        <v>37</v>
      </c>
      <c r="H41" s="133" t="s">
        <v>737</v>
      </c>
      <c r="I41" s="134">
        <v>7.2076661475179772E-4</v>
      </c>
      <c r="J41" s="123" t="s">
        <v>37</v>
      </c>
      <c r="K41" s="128" t="s">
        <v>713</v>
      </c>
      <c r="L41" s="129" t="s">
        <v>738</v>
      </c>
      <c r="M41" s="198" t="s">
        <v>739</v>
      </c>
      <c r="N41" s="198" t="s">
        <v>381</v>
      </c>
      <c r="O41" s="198" t="s">
        <v>381</v>
      </c>
      <c r="P41" s="198" t="s">
        <v>381</v>
      </c>
      <c r="Q41" s="198" t="s">
        <v>381</v>
      </c>
      <c r="R41" s="173" t="s">
        <v>1171</v>
      </c>
      <c r="S41" s="173" t="s">
        <v>1171</v>
      </c>
      <c r="T41" s="173" t="s">
        <v>1171</v>
      </c>
      <c r="U41" s="173" t="s">
        <v>1172</v>
      </c>
      <c r="V41" s="173" t="s">
        <v>1171</v>
      </c>
      <c r="W41" s="30" t="b">
        <v>1</v>
      </c>
      <c r="X41" s="188" t="str">
        <f t="shared" si="0"/>
        <v>O-32NOx</v>
      </c>
      <c r="Y41" s="190" t="str">
        <f t="shared" si="1"/>
        <v>$31,760 combined NOx+PM</v>
      </c>
    </row>
    <row r="42" spans="1:25" x14ac:dyDescent="0.3">
      <c r="A42" s="47"/>
      <c r="B42" s="104" t="s">
        <v>159</v>
      </c>
      <c r="C42" s="56"/>
      <c r="D42" s="59"/>
      <c r="E42" s="56"/>
      <c r="F42" s="56"/>
      <c r="G42" s="56"/>
      <c r="H42" s="56"/>
      <c r="I42" s="56"/>
      <c r="J42" s="56"/>
      <c r="K42" s="60"/>
      <c r="L42" s="56"/>
      <c r="M42" s="197"/>
      <c r="N42" s="197"/>
      <c r="O42" s="197"/>
      <c r="P42" s="197"/>
      <c r="Q42" s="197"/>
      <c r="X42" s="188" t="str">
        <f t="shared" si="0"/>
        <v>Off-road</v>
      </c>
      <c r="Y42" s="190">
        <f t="shared" si="1"/>
        <v>0</v>
      </c>
    </row>
    <row r="43" spans="1:25" x14ac:dyDescent="0.3">
      <c r="A43" s="51" t="str">
        <f>IF(ISNA(VLOOKUP(B43,Shortlist_xref!$A$5:$B$77,2,FALSE))=TRUE,"-",VLOOKUP(B43,Shortlist_xref!$A$5:$B$77,2,FALSE))</f>
        <v>R-Select</v>
      </c>
      <c r="B43" s="57" t="s">
        <v>160</v>
      </c>
      <c r="C43" s="126" t="s">
        <v>161</v>
      </c>
      <c r="D43" s="127" t="s">
        <v>162</v>
      </c>
      <c r="E43" s="131" t="s">
        <v>12</v>
      </c>
      <c r="F43" s="132">
        <v>0.01</v>
      </c>
      <c r="G43" s="132">
        <v>0.185</v>
      </c>
      <c r="H43" s="133" t="s">
        <v>740</v>
      </c>
      <c r="I43" s="134">
        <v>6.7174878183986653E-2</v>
      </c>
      <c r="J43" s="123">
        <v>133.25412485833243</v>
      </c>
      <c r="K43" s="136">
        <v>0</v>
      </c>
      <c r="L43" s="129" t="s">
        <v>613</v>
      </c>
      <c r="M43" s="198" t="s">
        <v>374</v>
      </c>
      <c r="N43" s="198" t="s">
        <v>381</v>
      </c>
      <c r="O43" s="198" t="s">
        <v>381</v>
      </c>
      <c r="P43" s="198" t="s">
        <v>381</v>
      </c>
      <c r="Q43" s="198" t="s">
        <v>381</v>
      </c>
      <c r="R43" s="173" t="s">
        <v>1171</v>
      </c>
      <c r="S43" s="173" t="s">
        <v>1171</v>
      </c>
      <c r="T43" s="173" t="s">
        <v>1171</v>
      </c>
      <c r="U43" s="173" t="s">
        <v>1171</v>
      </c>
      <c r="V43" s="173" t="s">
        <v>1171</v>
      </c>
      <c r="W43" s="30" t="b">
        <v>1</v>
      </c>
      <c r="X43" s="188" t="str">
        <f t="shared" si="0"/>
        <v>N-1NOx</v>
      </c>
      <c r="Y43" s="190" t="str">
        <f t="shared" si="1"/>
        <v>$4,500/ ton NOx</v>
      </c>
    </row>
    <row r="44" spans="1:25" x14ac:dyDescent="0.3">
      <c r="A44" s="51" t="str">
        <f>IF(ISNA(VLOOKUP(B44,Shortlist_xref!$A$5:$B$77,2,FALSE))=TRUE,"-",VLOOKUP(B44,Shortlist_xref!$A$5:$B$77,2,FALSE))</f>
        <v>-</v>
      </c>
      <c r="B44" s="57" t="s">
        <v>741</v>
      </c>
      <c r="C44" s="126" t="s">
        <v>161</v>
      </c>
      <c r="D44" s="127" t="s">
        <v>742</v>
      </c>
      <c r="E44" s="131" t="s">
        <v>12</v>
      </c>
      <c r="F44" s="132">
        <v>0.01</v>
      </c>
      <c r="G44" s="132">
        <v>0.185</v>
      </c>
      <c r="H44" s="133" t="s">
        <v>740</v>
      </c>
      <c r="I44" s="134">
        <v>6.7174878183986653E-2</v>
      </c>
      <c r="J44" s="123">
        <v>133.25412485833243</v>
      </c>
      <c r="K44" s="136">
        <v>0</v>
      </c>
      <c r="L44" s="129" t="s">
        <v>613</v>
      </c>
      <c r="M44" s="198" t="s">
        <v>374</v>
      </c>
      <c r="N44" s="198" t="s">
        <v>743</v>
      </c>
      <c r="O44" s="198" t="s">
        <v>744</v>
      </c>
      <c r="P44" s="198"/>
      <c r="Q44" s="198"/>
      <c r="R44" s="173" t="s">
        <v>1171</v>
      </c>
      <c r="S44" s="173" t="s">
        <v>1171</v>
      </c>
      <c r="T44" s="173" t="s">
        <v>1171</v>
      </c>
      <c r="U44" s="173" t="s">
        <v>1171</v>
      </c>
      <c r="V44" s="173" t="s">
        <v>1171</v>
      </c>
      <c r="W44" s="30" t="b">
        <v>1</v>
      </c>
      <c r="X44" s="188" t="str">
        <f t="shared" si="0"/>
        <v>N-2, N-15NOx</v>
      </c>
      <c r="Y44" s="190" t="str">
        <f t="shared" si="1"/>
        <v>$4,500/ ton NOx</v>
      </c>
    </row>
    <row r="45" spans="1:25" ht="32.85" x14ac:dyDescent="0.3">
      <c r="A45" s="51" t="str">
        <f>IF(ISNA(VLOOKUP(B45,Shortlist_xref!$A$5:$B$77,2,FALSE))=TRUE,"-",VLOOKUP(B45,Shortlist_xref!$A$5:$B$77,2,FALSE))</f>
        <v>-</v>
      </c>
      <c r="B45" s="57" t="s">
        <v>745</v>
      </c>
      <c r="C45" s="126" t="s">
        <v>161</v>
      </c>
      <c r="D45" s="127" t="s">
        <v>746</v>
      </c>
      <c r="E45" s="131" t="s">
        <v>12</v>
      </c>
      <c r="F45" s="132">
        <v>0.01</v>
      </c>
      <c r="G45" s="132">
        <v>0.66</v>
      </c>
      <c r="H45" s="137" t="s">
        <v>747</v>
      </c>
      <c r="I45" s="134">
        <v>6.7174878183986667E-2</v>
      </c>
      <c r="J45" s="123">
        <v>475.39309408918609</v>
      </c>
      <c r="K45" s="136">
        <v>0</v>
      </c>
      <c r="L45" s="129" t="s">
        <v>748</v>
      </c>
      <c r="M45" s="198" t="s">
        <v>749</v>
      </c>
      <c r="N45" s="198" t="s">
        <v>750</v>
      </c>
      <c r="O45" s="198" t="s">
        <v>751</v>
      </c>
      <c r="P45" s="198" t="s">
        <v>381</v>
      </c>
      <c r="Q45" s="198" t="s">
        <v>381</v>
      </c>
      <c r="R45" s="173" t="s">
        <v>1171</v>
      </c>
      <c r="S45" s="173" t="s">
        <v>1171</v>
      </c>
      <c r="T45" s="173" t="s">
        <v>1171</v>
      </c>
      <c r="U45" s="173" t="s">
        <v>1171</v>
      </c>
      <c r="V45" s="173" t="s">
        <v>1171</v>
      </c>
      <c r="W45" s="30" t="b">
        <v>1</v>
      </c>
      <c r="X45" s="188" t="str">
        <f t="shared" si="0"/>
        <v>N-3NOx</v>
      </c>
      <c r="Y45" s="190" t="str">
        <f t="shared" si="1"/>
        <v>$43,493/ton NOx</v>
      </c>
    </row>
    <row r="46" spans="1:25" ht="24.2" x14ac:dyDescent="0.3">
      <c r="A46" s="51" t="str">
        <f>IF(ISNA(VLOOKUP(B46,Shortlist_xref!$A$5:$B$77,2,FALSE))=TRUE,"-",VLOOKUP(B46,Shortlist_xref!$A$5:$B$77,2,FALSE))</f>
        <v>-</v>
      </c>
      <c r="B46" s="57" t="s">
        <v>752</v>
      </c>
      <c r="C46" s="126" t="s">
        <v>753</v>
      </c>
      <c r="D46" s="127" t="s">
        <v>754</v>
      </c>
      <c r="E46" s="131" t="s">
        <v>12</v>
      </c>
      <c r="F46" s="132">
        <v>0.01</v>
      </c>
      <c r="G46" s="132">
        <v>1</v>
      </c>
      <c r="H46" s="133" t="s">
        <v>755</v>
      </c>
      <c r="I46" s="134">
        <v>9.7304449860052006E-3</v>
      </c>
      <c r="J46" s="123">
        <v>104.33613554008843</v>
      </c>
      <c r="K46" s="128" t="s">
        <v>705</v>
      </c>
      <c r="L46" s="129" t="s">
        <v>756</v>
      </c>
      <c r="M46" s="198" t="s">
        <v>751</v>
      </c>
      <c r="N46" s="198" t="s">
        <v>625</v>
      </c>
      <c r="O46" s="198" t="s">
        <v>626</v>
      </c>
      <c r="P46" s="198" t="s">
        <v>381</v>
      </c>
      <c r="Q46" s="198" t="s">
        <v>381</v>
      </c>
      <c r="R46" s="173" t="s">
        <v>1171</v>
      </c>
      <c r="S46" s="173" t="s">
        <v>1171</v>
      </c>
      <c r="T46" s="173" t="s">
        <v>1171</v>
      </c>
      <c r="U46" s="173" t="s">
        <v>1172</v>
      </c>
      <c r="V46" s="173" t="s">
        <v>1172</v>
      </c>
      <c r="W46" s="30" t="b">
        <v>1</v>
      </c>
      <c r="X46" s="188" t="str">
        <f t="shared" si="0"/>
        <v>N-4NOx</v>
      </c>
      <c r="Y46" s="190" t="str">
        <f t="shared" si="1"/>
        <v>$16000/ton NOx+VOC</v>
      </c>
    </row>
    <row r="47" spans="1:25" ht="24.2" x14ac:dyDescent="0.3">
      <c r="A47" s="51" t="str">
        <f>IF(ISNA(VLOOKUP(B47,Shortlist_xref!$A$5:$B$77,2,FALSE))=TRUE,"-",VLOOKUP(B47,Shortlist_xref!$A$5:$B$77,2,FALSE))</f>
        <v>-</v>
      </c>
      <c r="B47" s="57" t="s">
        <v>752</v>
      </c>
      <c r="C47" s="126" t="s">
        <v>753</v>
      </c>
      <c r="D47" s="127" t="s">
        <v>754</v>
      </c>
      <c r="E47" s="131" t="s">
        <v>53</v>
      </c>
      <c r="F47" s="132">
        <v>0.01</v>
      </c>
      <c r="G47" s="132">
        <v>1</v>
      </c>
      <c r="H47" s="133" t="s">
        <v>755</v>
      </c>
      <c r="I47" s="134">
        <v>3.7381815553648522E-2</v>
      </c>
      <c r="J47" s="123">
        <v>563.94228272200291</v>
      </c>
      <c r="K47" s="128" t="s">
        <v>705</v>
      </c>
      <c r="L47" s="129" t="s">
        <v>756</v>
      </c>
      <c r="M47" s="198" t="s">
        <v>751</v>
      </c>
      <c r="N47" s="198" t="s">
        <v>625</v>
      </c>
      <c r="O47" s="198" t="s">
        <v>626</v>
      </c>
      <c r="P47" s="198" t="s">
        <v>381</v>
      </c>
      <c r="Q47" s="198" t="s">
        <v>381</v>
      </c>
      <c r="R47" s="173" t="s">
        <v>1171</v>
      </c>
      <c r="S47" s="173" t="s">
        <v>1171</v>
      </c>
      <c r="T47" s="173" t="s">
        <v>1171</v>
      </c>
      <c r="U47" s="173" t="s">
        <v>1172</v>
      </c>
      <c r="V47" s="173" t="s">
        <v>1172</v>
      </c>
      <c r="W47" s="30" t="b">
        <v>1</v>
      </c>
      <c r="X47" s="188" t="str">
        <f t="shared" si="0"/>
        <v>N-4VOC</v>
      </c>
      <c r="Y47" s="190" t="str">
        <f t="shared" si="1"/>
        <v>$16000/ton NOx+VOC</v>
      </c>
    </row>
    <row r="48" spans="1:25" x14ac:dyDescent="0.3">
      <c r="A48" s="51" t="str">
        <f>IF(ISNA(VLOOKUP(B48,Shortlist_xref!$A$5:$B$77,2,FALSE))=TRUE,"-",VLOOKUP(B48,Shortlist_xref!$A$5:$B$77,2,FALSE))</f>
        <v>-</v>
      </c>
      <c r="B48" s="57" t="s">
        <v>757</v>
      </c>
      <c r="C48" s="126" t="s">
        <v>758</v>
      </c>
      <c r="D48" s="127" t="s">
        <v>617</v>
      </c>
      <c r="E48" s="131" t="s">
        <v>53</v>
      </c>
      <c r="F48" s="132">
        <v>0.01</v>
      </c>
      <c r="G48" s="132">
        <v>0.255</v>
      </c>
      <c r="H48" s="133" t="s">
        <v>759</v>
      </c>
      <c r="I48" s="134">
        <v>6.0176939047658876E-2</v>
      </c>
      <c r="J48" s="123">
        <v>231.49655968125052</v>
      </c>
      <c r="K48" s="128"/>
      <c r="L48" s="129" t="s">
        <v>613</v>
      </c>
      <c r="M48" s="198" t="s">
        <v>614</v>
      </c>
      <c r="N48" s="198" t="s">
        <v>381</v>
      </c>
      <c r="O48" s="198" t="s">
        <v>381</v>
      </c>
      <c r="P48" s="198" t="s">
        <v>381</v>
      </c>
      <c r="Q48" s="198" t="s">
        <v>381</v>
      </c>
      <c r="R48" s="173" t="s">
        <v>1171</v>
      </c>
      <c r="S48" s="173" t="s">
        <v>1171</v>
      </c>
      <c r="T48" s="173" t="s">
        <v>1171</v>
      </c>
      <c r="U48" s="173" t="s">
        <v>1172</v>
      </c>
      <c r="V48" s="173" t="s">
        <v>1172</v>
      </c>
      <c r="W48" s="30" t="b">
        <v>1</v>
      </c>
      <c r="X48" s="188" t="str">
        <f t="shared" si="0"/>
        <v>N-5VOC</v>
      </c>
      <c r="Y48" s="190" t="str">
        <f t="shared" si="1"/>
        <v>$5,700/ ton VOC</v>
      </c>
    </row>
    <row r="49" spans="1:25" ht="21.9" x14ac:dyDescent="0.3">
      <c r="A49" s="51" t="str">
        <f>IF(ISNA(VLOOKUP(B49,Shortlist_xref!$A$5:$B$77,2,FALSE))=TRUE,"-",VLOOKUP(B49,Shortlist_xref!$A$5:$B$77,2,FALSE))</f>
        <v>-</v>
      </c>
      <c r="B49" s="57" t="s">
        <v>760</v>
      </c>
      <c r="C49" s="126" t="s">
        <v>761</v>
      </c>
      <c r="D49" s="127" t="s">
        <v>762</v>
      </c>
      <c r="E49" s="131" t="s">
        <v>12</v>
      </c>
      <c r="F49" s="132" t="s">
        <v>37</v>
      </c>
      <c r="G49" s="132" t="s">
        <v>37</v>
      </c>
      <c r="H49" s="133" t="s">
        <v>37</v>
      </c>
      <c r="I49" s="134">
        <v>3.18684610295277E-2</v>
      </c>
      <c r="J49" s="123" t="s">
        <v>37</v>
      </c>
      <c r="K49" s="136">
        <v>0</v>
      </c>
      <c r="L49" s="129" t="s">
        <v>763</v>
      </c>
      <c r="M49" s="198" t="s">
        <v>764</v>
      </c>
      <c r="N49" s="198" t="s">
        <v>381</v>
      </c>
      <c r="O49" s="198" t="s">
        <v>381</v>
      </c>
      <c r="P49" s="198" t="s">
        <v>381</v>
      </c>
      <c r="Q49" s="198" t="s">
        <v>381</v>
      </c>
      <c r="R49" s="173" t="s">
        <v>1171</v>
      </c>
      <c r="S49" s="173" t="s">
        <v>1171</v>
      </c>
      <c r="T49" s="173" t="s">
        <v>1171</v>
      </c>
      <c r="U49" s="173" t="s">
        <v>1171</v>
      </c>
      <c r="V49" s="173" t="s">
        <v>1171</v>
      </c>
      <c r="W49" s="30" t="b">
        <v>1</v>
      </c>
      <c r="X49" s="188" t="str">
        <f t="shared" si="0"/>
        <v>N-6NOx</v>
      </c>
      <c r="Y49" s="190" t="str">
        <f t="shared" si="1"/>
        <v>NA</v>
      </c>
    </row>
    <row r="50" spans="1:25" ht="21.9" x14ac:dyDescent="0.3">
      <c r="A50" s="51" t="str">
        <f>IF(ISNA(VLOOKUP(B50,Shortlist_xref!$A$5:$B$77,2,FALSE))=TRUE,"-",VLOOKUP(B50,Shortlist_xref!$A$5:$B$77,2,FALSE))</f>
        <v>-</v>
      </c>
      <c r="B50" s="57" t="s">
        <v>765</v>
      </c>
      <c r="C50" s="126" t="s">
        <v>761</v>
      </c>
      <c r="D50" s="127" t="s">
        <v>766</v>
      </c>
      <c r="E50" s="131" t="s">
        <v>12</v>
      </c>
      <c r="F50" s="132" t="s">
        <v>37</v>
      </c>
      <c r="G50" s="132" t="s">
        <v>37</v>
      </c>
      <c r="H50" s="133" t="s">
        <v>37</v>
      </c>
      <c r="I50" s="134">
        <v>3.18684610295277E-2</v>
      </c>
      <c r="J50" s="123" t="s">
        <v>37</v>
      </c>
      <c r="K50" s="136">
        <v>0</v>
      </c>
      <c r="L50" s="129" t="s">
        <v>763</v>
      </c>
      <c r="M50" s="198" t="s">
        <v>764</v>
      </c>
      <c r="N50" s="198" t="s">
        <v>381</v>
      </c>
      <c r="O50" s="198" t="s">
        <v>381</v>
      </c>
      <c r="P50" s="198" t="s">
        <v>381</v>
      </c>
      <c r="Q50" s="198" t="s">
        <v>381</v>
      </c>
      <c r="R50" s="173" t="s">
        <v>1171</v>
      </c>
      <c r="S50" s="173" t="s">
        <v>1171</v>
      </c>
      <c r="T50" s="173" t="s">
        <v>1171</v>
      </c>
      <c r="U50" s="173" t="s">
        <v>1171</v>
      </c>
      <c r="V50" s="173" t="s">
        <v>1171</v>
      </c>
      <c r="W50" s="30" t="b">
        <v>1</v>
      </c>
      <c r="X50" s="188" t="str">
        <f t="shared" si="0"/>
        <v>N-7NOx</v>
      </c>
      <c r="Y50" s="190" t="str">
        <f t="shared" si="1"/>
        <v>NA</v>
      </c>
    </row>
    <row r="51" spans="1:25" ht="21.9" x14ac:dyDescent="0.3">
      <c r="A51" s="51" t="str">
        <f>IF(ISNA(VLOOKUP(B51,Shortlist_xref!$A$5:$B$77,2,FALSE))=TRUE,"-",VLOOKUP(B51,Shortlist_xref!$A$5:$B$77,2,FALSE))</f>
        <v>-</v>
      </c>
      <c r="B51" s="57" t="s">
        <v>767</v>
      </c>
      <c r="C51" s="126" t="s">
        <v>768</v>
      </c>
      <c r="D51" s="127" t="s">
        <v>769</v>
      </c>
      <c r="E51" s="131" t="s">
        <v>53</v>
      </c>
      <c r="F51" s="132" t="s">
        <v>37</v>
      </c>
      <c r="G51" s="132" t="s">
        <v>37</v>
      </c>
      <c r="H51" s="133" t="s">
        <v>37</v>
      </c>
      <c r="I51" s="134">
        <v>2.3416233326758154E-3</v>
      </c>
      <c r="J51" s="123" t="s">
        <v>37</v>
      </c>
      <c r="K51" s="136">
        <v>0</v>
      </c>
      <c r="L51" s="129" t="s">
        <v>763</v>
      </c>
      <c r="M51" s="198" t="s">
        <v>743</v>
      </c>
      <c r="N51" s="198" t="s">
        <v>381</v>
      </c>
      <c r="O51" s="198" t="s">
        <v>381</v>
      </c>
      <c r="P51" s="198" t="s">
        <v>381</v>
      </c>
      <c r="Q51" s="198" t="s">
        <v>381</v>
      </c>
      <c r="R51" s="173" t="s">
        <v>1171</v>
      </c>
      <c r="S51" s="173" t="s">
        <v>1171</v>
      </c>
      <c r="T51" s="173" t="s">
        <v>1171</v>
      </c>
      <c r="U51" s="173" t="s">
        <v>1171</v>
      </c>
      <c r="V51" s="173" t="s">
        <v>1171</v>
      </c>
      <c r="W51" s="30" t="b">
        <v>1</v>
      </c>
      <c r="X51" s="188" t="str">
        <f t="shared" si="0"/>
        <v>N-8VOC</v>
      </c>
      <c r="Y51" s="190" t="str">
        <f t="shared" si="1"/>
        <v>NA</v>
      </c>
    </row>
    <row r="52" spans="1:25" ht="24.2" x14ac:dyDescent="0.3">
      <c r="A52" s="51" t="str">
        <f>IF(ISNA(VLOOKUP(B52,Shortlist_xref!$A$5:$B$77,2,FALSE))=TRUE,"-",VLOOKUP(B52,Shortlist_xref!$A$5:$B$77,2,FALSE))</f>
        <v>-</v>
      </c>
      <c r="B52" s="57" t="s">
        <v>770</v>
      </c>
      <c r="C52" s="126" t="s">
        <v>768</v>
      </c>
      <c r="D52" s="127" t="s">
        <v>771</v>
      </c>
      <c r="E52" s="131" t="s">
        <v>12</v>
      </c>
      <c r="F52" s="132" t="s">
        <v>37</v>
      </c>
      <c r="G52" s="132" t="s">
        <v>37</v>
      </c>
      <c r="H52" s="133" t="s">
        <v>37</v>
      </c>
      <c r="I52" s="134">
        <v>5.1151288003239294E-2</v>
      </c>
      <c r="J52" s="123" t="s">
        <v>37</v>
      </c>
      <c r="K52" s="136">
        <v>0</v>
      </c>
      <c r="L52" s="129" t="s">
        <v>763</v>
      </c>
      <c r="M52" s="198" t="s">
        <v>743</v>
      </c>
      <c r="N52" s="198" t="s">
        <v>381</v>
      </c>
      <c r="O52" s="198" t="s">
        <v>381</v>
      </c>
      <c r="P52" s="198" t="s">
        <v>381</v>
      </c>
      <c r="Q52" s="198" t="s">
        <v>381</v>
      </c>
      <c r="R52" s="173" t="s">
        <v>1171</v>
      </c>
      <c r="S52" s="173" t="s">
        <v>1171</v>
      </c>
      <c r="T52" s="173" t="s">
        <v>1171</v>
      </c>
      <c r="U52" s="173" t="s">
        <v>1171</v>
      </c>
      <c r="V52" s="173" t="s">
        <v>1171</v>
      </c>
      <c r="W52" s="30" t="b">
        <v>1</v>
      </c>
      <c r="X52" s="188" t="str">
        <f t="shared" si="0"/>
        <v>N-9NOx</v>
      </c>
      <c r="Y52" s="190" t="str">
        <f t="shared" si="1"/>
        <v>NA</v>
      </c>
    </row>
    <row r="53" spans="1:25" ht="21.9" x14ac:dyDescent="0.3">
      <c r="A53" s="51" t="str">
        <f>IF(ISNA(VLOOKUP(B53,Shortlist_xref!$A$5:$B$77,2,FALSE))=TRUE,"-",VLOOKUP(B53,Shortlist_xref!$A$5:$B$77,2,FALSE))</f>
        <v>-</v>
      </c>
      <c r="B53" s="57" t="s">
        <v>772</v>
      </c>
      <c r="C53" s="126" t="s">
        <v>768</v>
      </c>
      <c r="D53" s="127" t="s">
        <v>773</v>
      </c>
      <c r="E53" s="131" t="s">
        <v>12</v>
      </c>
      <c r="F53" s="132">
        <v>0.01</v>
      </c>
      <c r="G53" s="132">
        <v>1</v>
      </c>
      <c r="H53" s="133" t="s">
        <v>37</v>
      </c>
      <c r="I53" s="134">
        <v>5.1151288003239294E-2</v>
      </c>
      <c r="J53" s="123">
        <v>548.47725112591502</v>
      </c>
      <c r="K53" s="136">
        <v>0</v>
      </c>
      <c r="L53" s="129" t="s">
        <v>763</v>
      </c>
      <c r="M53" s="198" t="s">
        <v>743</v>
      </c>
      <c r="N53" s="198" t="s">
        <v>381</v>
      </c>
      <c r="O53" s="198" t="s">
        <v>381</v>
      </c>
      <c r="P53" s="198" t="s">
        <v>381</v>
      </c>
      <c r="Q53" s="198" t="s">
        <v>381</v>
      </c>
      <c r="R53" s="173" t="s">
        <v>1171</v>
      </c>
      <c r="S53" s="173" t="s">
        <v>1171</v>
      </c>
      <c r="T53" s="173" t="s">
        <v>1171</v>
      </c>
      <c r="U53" s="173" t="s">
        <v>1171</v>
      </c>
      <c r="V53" s="173" t="s">
        <v>1171</v>
      </c>
      <c r="W53" s="30" t="b">
        <v>1</v>
      </c>
      <c r="X53" s="188" t="str">
        <f t="shared" si="0"/>
        <v>N-10NOx</v>
      </c>
      <c r="Y53" s="190" t="str">
        <f t="shared" si="1"/>
        <v>NA</v>
      </c>
    </row>
    <row r="54" spans="1:25" ht="39.75" x14ac:dyDescent="0.3">
      <c r="A54" s="51" t="str">
        <f>IF(ISNA(VLOOKUP(B54,Shortlist_xref!$A$5:$B$77,2,FALSE))=TRUE,"-",VLOOKUP(B54,Shortlist_xref!$A$5:$B$77,2,FALSE))</f>
        <v>-</v>
      </c>
      <c r="B54" s="57" t="s">
        <v>774</v>
      </c>
      <c r="C54" s="126" t="s">
        <v>768</v>
      </c>
      <c r="D54" s="127" t="s">
        <v>775</v>
      </c>
      <c r="E54" s="131" t="s">
        <v>12</v>
      </c>
      <c r="F54" s="132" t="s">
        <v>37</v>
      </c>
      <c r="G54" s="132" t="s">
        <v>37</v>
      </c>
      <c r="H54" s="137" t="s">
        <v>776</v>
      </c>
      <c r="I54" s="134">
        <v>5.1151288003239294E-2</v>
      </c>
      <c r="J54" s="123" t="s">
        <v>37</v>
      </c>
      <c r="K54" s="136">
        <v>0</v>
      </c>
      <c r="L54" s="129" t="s">
        <v>763</v>
      </c>
      <c r="M54" s="198" t="s">
        <v>743</v>
      </c>
      <c r="N54" s="198" t="s">
        <v>381</v>
      </c>
      <c r="O54" s="198" t="s">
        <v>381</v>
      </c>
      <c r="P54" s="198" t="s">
        <v>381</v>
      </c>
      <c r="Q54" s="198" t="s">
        <v>381</v>
      </c>
      <c r="R54" s="173" t="s">
        <v>1171</v>
      </c>
      <c r="S54" s="173" t="s">
        <v>1171</v>
      </c>
      <c r="T54" s="173" t="s">
        <v>1171</v>
      </c>
      <c r="U54" s="173" t="s">
        <v>1171</v>
      </c>
      <c r="V54" s="173" t="s">
        <v>1171</v>
      </c>
      <c r="W54" s="30" t="b">
        <v>1</v>
      </c>
      <c r="X54" s="188" t="str">
        <f t="shared" si="0"/>
        <v>N-11NOx</v>
      </c>
      <c r="Y54" s="190" t="str">
        <f t="shared" si="1"/>
        <v xml:space="preserve">Low administrative costs for
tracking equipment
maintenance needs </v>
      </c>
    </row>
    <row r="55" spans="1:25" ht="32.85" x14ac:dyDescent="0.3">
      <c r="A55" s="51" t="str">
        <f>IF(ISNA(VLOOKUP(B55,Shortlist_xref!$A$5:$B$77,2,FALSE))=TRUE,"-",VLOOKUP(B55,Shortlist_xref!$A$5:$B$77,2,FALSE))</f>
        <v>-</v>
      </c>
      <c r="B55" s="57" t="s">
        <v>777</v>
      </c>
      <c r="C55" s="126" t="s">
        <v>768</v>
      </c>
      <c r="D55" s="127" t="s">
        <v>778</v>
      </c>
      <c r="E55" s="131" t="s">
        <v>12</v>
      </c>
      <c r="F55" s="132">
        <v>0.01</v>
      </c>
      <c r="G55" s="132">
        <v>0.27</v>
      </c>
      <c r="H55" s="137" t="s">
        <v>747</v>
      </c>
      <c r="I55" s="134">
        <v>5.1151288003239294E-2</v>
      </c>
      <c r="J55" s="123">
        <v>148.08885780399706</v>
      </c>
      <c r="K55" s="136">
        <v>0</v>
      </c>
      <c r="L55" s="129" t="s">
        <v>779</v>
      </c>
      <c r="M55" s="198" t="s">
        <v>743</v>
      </c>
      <c r="N55" s="198" t="s">
        <v>751</v>
      </c>
      <c r="O55" s="198" t="s">
        <v>381</v>
      </c>
      <c r="P55" s="198" t="s">
        <v>381</v>
      </c>
      <c r="Q55" s="198" t="s">
        <v>381</v>
      </c>
      <c r="R55" s="173" t="s">
        <v>1171</v>
      </c>
      <c r="S55" s="173" t="s">
        <v>1171</v>
      </c>
      <c r="T55" s="173" t="s">
        <v>1171</v>
      </c>
      <c r="U55" s="173" t="s">
        <v>1171</v>
      </c>
      <c r="V55" s="173" t="s">
        <v>1171</v>
      </c>
      <c r="W55" s="30" t="b">
        <v>1</v>
      </c>
      <c r="X55" s="188" t="str">
        <f t="shared" si="0"/>
        <v>N-12NOx</v>
      </c>
      <c r="Y55" s="190" t="str">
        <f t="shared" si="1"/>
        <v>$43,493/ton NOx</v>
      </c>
    </row>
    <row r="56" spans="1:25" ht="39.75" x14ac:dyDescent="0.3">
      <c r="A56" s="51" t="str">
        <f>IF(ISNA(VLOOKUP(B56,Shortlist_xref!$A$5:$B$77,2,FALSE))=TRUE,"-",VLOOKUP(B56,Shortlist_xref!$A$5:$B$77,2,FALSE))</f>
        <v>-</v>
      </c>
      <c r="B56" s="57" t="s">
        <v>780</v>
      </c>
      <c r="C56" s="126" t="s">
        <v>768</v>
      </c>
      <c r="D56" s="127" t="s">
        <v>781</v>
      </c>
      <c r="E56" s="131" t="s">
        <v>12</v>
      </c>
      <c r="F56" s="132" t="s">
        <v>37</v>
      </c>
      <c r="G56" s="132" t="s">
        <v>37</v>
      </c>
      <c r="H56" s="133" t="s">
        <v>782</v>
      </c>
      <c r="I56" s="134">
        <v>5.1151288003239294E-2</v>
      </c>
      <c r="J56" s="123" t="s">
        <v>37</v>
      </c>
      <c r="K56" s="136">
        <v>0</v>
      </c>
      <c r="L56" s="129" t="s">
        <v>763</v>
      </c>
      <c r="M56" s="198" t="s">
        <v>743</v>
      </c>
      <c r="N56" s="198" t="s">
        <v>381</v>
      </c>
      <c r="O56" s="198" t="s">
        <v>381</v>
      </c>
      <c r="P56" s="198" t="s">
        <v>381</v>
      </c>
      <c r="Q56" s="198" t="s">
        <v>381</v>
      </c>
      <c r="R56" s="173" t="s">
        <v>1171</v>
      </c>
      <c r="S56" s="173" t="s">
        <v>1171</v>
      </c>
      <c r="T56" s="173" t="s">
        <v>1171</v>
      </c>
      <c r="U56" s="173" t="s">
        <v>1171</v>
      </c>
      <c r="V56" s="173" t="s">
        <v>1171</v>
      </c>
      <c r="W56" s="30" t="b">
        <v>1</v>
      </c>
      <c r="X56" s="188" t="str">
        <f t="shared" si="0"/>
        <v>N-13NOx</v>
      </c>
      <c r="Y56" s="190" t="str">
        <f t="shared" si="1"/>
        <v>Upfront investment in operator
training – cost varies by
training program</v>
      </c>
    </row>
    <row r="57" spans="1:25" ht="26.5" x14ac:dyDescent="0.3">
      <c r="A57" s="51" t="str">
        <f>IF(ISNA(VLOOKUP(B57,Shortlist_xref!$A$5:$B$77,2,FALSE))=TRUE,"-",VLOOKUP(B57,Shortlist_xref!$A$5:$B$77,2,FALSE))</f>
        <v>-</v>
      </c>
      <c r="B57" s="57" t="s">
        <v>783</v>
      </c>
      <c r="C57" s="126" t="s">
        <v>768</v>
      </c>
      <c r="D57" s="127" t="s">
        <v>784</v>
      </c>
      <c r="E57" s="131" t="s">
        <v>12</v>
      </c>
      <c r="F57" s="132" t="s">
        <v>37</v>
      </c>
      <c r="G57" s="132" t="s">
        <v>37</v>
      </c>
      <c r="H57" s="133" t="s">
        <v>785</v>
      </c>
      <c r="I57" s="134">
        <v>5.1151288003239294E-2</v>
      </c>
      <c r="J57" s="123" t="s">
        <v>37</v>
      </c>
      <c r="K57" s="136">
        <v>0</v>
      </c>
      <c r="L57" s="129" t="s">
        <v>763</v>
      </c>
      <c r="M57" s="198" t="s">
        <v>743</v>
      </c>
      <c r="N57" s="198" t="s">
        <v>381</v>
      </c>
      <c r="O57" s="198" t="s">
        <v>381</v>
      </c>
      <c r="P57" s="198" t="s">
        <v>381</v>
      </c>
      <c r="Q57" s="198" t="s">
        <v>381</v>
      </c>
      <c r="R57" s="173" t="s">
        <v>1171</v>
      </c>
      <c r="S57" s="173" t="s">
        <v>1171</v>
      </c>
      <c r="T57" s="173" t="s">
        <v>1171</v>
      </c>
      <c r="U57" s="173" t="s">
        <v>1171</v>
      </c>
      <c r="V57" s="173" t="s">
        <v>1171</v>
      </c>
      <c r="W57" s="30" t="b">
        <v>1</v>
      </c>
      <c r="X57" s="188" t="str">
        <f t="shared" si="0"/>
        <v>N-14NOx</v>
      </c>
      <c r="Y57" s="190" t="str">
        <f t="shared" si="1"/>
        <v>Low administrative costs for
training and tracking of idling</v>
      </c>
    </row>
    <row r="58" spans="1:25" ht="39.75" x14ac:dyDescent="0.3">
      <c r="A58" s="51" t="str">
        <f>IF(ISNA(VLOOKUP(B58,Shortlist_xref!$A$5:$B$77,2,FALSE))=TRUE,"-",VLOOKUP(B58,Shortlist_xref!$A$5:$B$77,2,FALSE))</f>
        <v>-</v>
      </c>
      <c r="B58" s="57" t="s">
        <v>786</v>
      </c>
      <c r="C58" s="126" t="s">
        <v>768</v>
      </c>
      <c r="D58" s="127" t="s">
        <v>787</v>
      </c>
      <c r="E58" s="131" t="s">
        <v>12</v>
      </c>
      <c r="F58" s="132">
        <v>0.01</v>
      </c>
      <c r="G58" s="132">
        <v>0.37</v>
      </c>
      <c r="H58" s="134" t="s">
        <v>788</v>
      </c>
      <c r="I58" s="134">
        <v>5.1151288003239294E-2</v>
      </c>
      <c r="J58" s="123">
        <v>202.93658291658855</v>
      </c>
      <c r="K58" s="136" t="s">
        <v>789</v>
      </c>
      <c r="L58" s="129" t="s">
        <v>763</v>
      </c>
      <c r="M58" s="198" t="s">
        <v>743</v>
      </c>
      <c r="N58" s="198" t="s">
        <v>744</v>
      </c>
      <c r="O58" s="198" t="s">
        <v>381</v>
      </c>
      <c r="P58" s="198" t="s">
        <v>381</v>
      </c>
      <c r="Q58" s="198" t="s">
        <v>381</v>
      </c>
      <c r="R58" s="173" t="s">
        <v>1171</v>
      </c>
      <c r="S58" s="173" t="s">
        <v>1171</v>
      </c>
      <c r="T58" s="173" t="s">
        <v>1172</v>
      </c>
      <c r="U58" s="173" t="s">
        <v>1171</v>
      </c>
      <c r="V58" s="173" t="s">
        <v>1171</v>
      </c>
      <c r="W58" s="30" t="b">
        <v>1</v>
      </c>
      <c r="X58" s="188" t="str">
        <f t="shared" si="0"/>
        <v>N-15NOx</v>
      </c>
      <c r="Y58" s="190" t="str">
        <f t="shared" si="1"/>
        <v>$4,500 / ton</v>
      </c>
    </row>
    <row r="59" spans="1:25" ht="39.75" x14ac:dyDescent="0.3">
      <c r="A59" s="51" t="str">
        <f>IF(ISNA(VLOOKUP(B59,Shortlist_xref!$A$5:$B$77,2,FALSE))=TRUE,"-",VLOOKUP(B59,Shortlist_xref!$A$5:$B$77,2,FALSE))</f>
        <v>-</v>
      </c>
      <c r="B59" s="57" t="s">
        <v>786</v>
      </c>
      <c r="C59" s="126" t="s">
        <v>768</v>
      </c>
      <c r="D59" s="127" t="s">
        <v>787</v>
      </c>
      <c r="E59" s="131" t="s">
        <v>53</v>
      </c>
      <c r="F59" s="132">
        <v>0.01</v>
      </c>
      <c r="G59" s="132">
        <v>0.71</v>
      </c>
      <c r="H59" s="133" t="s">
        <v>37</v>
      </c>
      <c r="I59" s="134">
        <v>2.3416233326758154E-3</v>
      </c>
      <c r="J59" s="123">
        <v>25.08127749928256</v>
      </c>
      <c r="K59" s="136" t="s">
        <v>789</v>
      </c>
      <c r="L59" s="129" t="s">
        <v>763</v>
      </c>
      <c r="M59" s="198" t="s">
        <v>743</v>
      </c>
      <c r="N59" s="198" t="s">
        <v>744</v>
      </c>
      <c r="O59" s="198" t="s">
        <v>381</v>
      </c>
      <c r="P59" s="198" t="s">
        <v>381</v>
      </c>
      <c r="Q59" s="198" t="s">
        <v>381</v>
      </c>
      <c r="R59" s="173" t="s">
        <v>1171</v>
      </c>
      <c r="S59" s="173" t="s">
        <v>1171</v>
      </c>
      <c r="T59" s="173" t="s">
        <v>1171</v>
      </c>
      <c r="U59" s="173" t="s">
        <v>1171</v>
      </c>
      <c r="V59" s="173" t="s">
        <v>1171</v>
      </c>
      <c r="W59" s="30" t="b">
        <v>1</v>
      </c>
      <c r="X59" s="188" t="str">
        <f t="shared" si="0"/>
        <v>N-15VOC</v>
      </c>
      <c r="Y59" s="190" t="str">
        <f t="shared" si="1"/>
        <v>NA</v>
      </c>
    </row>
    <row r="60" spans="1:25" ht="36.299999999999997" x14ac:dyDescent="0.3">
      <c r="A60" s="51" t="str">
        <f>IF(ISNA(VLOOKUP(B60,Shortlist_xref!$A$5:$B$77,2,FALSE))=TRUE,"-",VLOOKUP(B60,Shortlist_xref!$A$5:$B$77,2,FALSE))</f>
        <v>EmissRed</v>
      </c>
      <c r="B60" s="57" t="s">
        <v>163</v>
      </c>
      <c r="C60" s="127" t="s">
        <v>164</v>
      </c>
      <c r="D60" s="127" t="s">
        <v>165</v>
      </c>
      <c r="E60" s="131" t="s">
        <v>12</v>
      </c>
      <c r="F60" s="132">
        <v>0.1</v>
      </c>
      <c r="G60" s="132">
        <v>1</v>
      </c>
      <c r="H60" s="133" t="s">
        <v>790</v>
      </c>
      <c r="I60" s="134">
        <v>2.8683074717640807E-2</v>
      </c>
      <c r="J60" s="123">
        <v>3075.5851101881517</v>
      </c>
      <c r="K60" s="136" t="s">
        <v>791</v>
      </c>
      <c r="L60" s="129" t="s">
        <v>756</v>
      </c>
      <c r="M60" s="198" t="s">
        <v>625</v>
      </c>
      <c r="N60" s="198" t="s">
        <v>792</v>
      </c>
      <c r="O60" s="198" t="s">
        <v>751</v>
      </c>
      <c r="P60" s="198" t="s">
        <v>381</v>
      </c>
      <c r="Q60" s="198" t="s">
        <v>381</v>
      </c>
      <c r="R60" s="173" t="s">
        <v>1171</v>
      </c>
      <c r="S60" s="173" t="s">
        <v>1171</v>
      </c>
      <c r="T60" s="173" t="s">
        <v>1171</v>
      </c>
      <c r="U60" s="173" t="s">
        <v>1172</v>
      </c>
      <c r="V60" s="173" t="s">
        <v>1172</v>
      </c>
      <c r="W60" s="30" t="b">
        <v>1</v>
      </c>
      <c r="X60" s="188" t="str">
        <f t="shared" si="0"/>
        <v>N-16NOx</v>
      </c>
      <c r="Y60" s="190" t="str">
        <f t="shared" si="1"/>
        <v>$16,000/ton NOx+VOC</v>
      </c>
    </row>
    <row r="61" spans="1:25" ht="24.2" x14ac:dyDescent="0.3">
      <c r="A61" s="51" t="str">
        <f>IF(ISNA(VLOOKUP(B61,Shortlist_xref!$A$5:$B$77,2,FALSE))=TRUE,"-",VLOOKUP(B61,Shortlist_xref!$A$5:$B$77,2,FALSE))</f>
        <v>EmissRed</v>
      </c>
      <c r="B61" s="57" t="s">
        <v>166</v>
      </c>
      <c r="C61" s="126" t="s">
        <v>167</v>
      </c>
      <c r="D61" s="127" t="s">
        <v>168</v>
      </c>
      <c r="E61" s="131" t="s">
        <v>12</v>
      </c>
      <c r="F61" s="132">
        <v>0.1</v>
      </c>
      <c r="G61" s="132">
        <v>0.95</v>
      </c>
      <c r="H61" s="133" t="s">
        <v>793</v>
      </c>
      <c r="I61" s="134">
        <v>2.8683074717640807E-2</v>
      </c>
      <c r="J61" s="123">
        <v>2921.8058546787438</v>
      </c>
      <c r="K61" s="136">
        <v>0</v>
      </c>
      <c r="L61" s="129" t="s">
        <v>666</v>
      </c>
      <c r="M61" s="198" t="s">
        <v>625</v>
      </c>
      <c r="N61" s="198" t="s">
        <v>381</v>
      </c>
      <c r="O61" s="198" t="s">
        <v>381</v>
      </c>
      <c r="P61" s="198" t="s">
        <v>381</v>
      </c>
      <c r="Q61" s="198" t="s">
        <v>381</v>
      </c>
      <c r="R61" s="173" t="s">
        <v>1171</v>
      </c>
      <c r="S61" s="173" t="s">
        <v>1171</v>
      </c>
      <c r="T61" s="173" t="s">
        <v>1171</v>
      </c>
      <c r="U61" s="173" t="s">
        <v>1172</v>
      </c>
      <c r="V61" s="173" t="s">
        <v>1172</v>
      </c>
      <c r="W61" s="30" t="b">
        <v>1</v>
      </c>
      <c r="X61" s="188" t="str">
        <f t="shared" si="0"/>
        <v>N-17NOx</v>
      </c>
      <c r="Y61" s="190" t="str">
        <f t="shared" si="1"/>
        <v>$12,750/ton NOx</v>
      </c>
    </row>
    <row r="62" spans="1:25" x14ac:dyDescent="0.3">
      <c r="A62" s="47"/>
      <c r="B62" s="104" t="s">
        <v>169</v>
      </c>
      <c r="C62" s="56"/>
      <c r="D62" s="59"/>
      <c r="E62" s="56"/>
      <c r="F62" s="56"/>
      <c r="G62" s="56"/>
      <c r="H62" s="56"/>
      <c r="I62" s="56"/>
      <c r="J62" s="56"/>
      <c r="K62" s="60"/>
      <c r="L62" s="56"/>
      <c r="M62" s="197"/>
      <c r="N62" s="197"/>
      <c r="O62" s="197"/>
      <c r="P62" s="197"/>
      <c r="Q62" s="197"/>
      <c r="X62" s="188" t="str">
        <f t="shared" si="0"/>
        <v>Rail</v>
      </c>
      <c r="Y62" s="190">
        <f t="shared" si="1"/>
        <v>0</v>
      </c>
    </row>
    <row r="63" spans="1:25" ht="24.2" x14ac:dyDescent="0.3">
      <c r="A63" s="51" t="str">
        <f>IF(ISNA(VLOOKUP(B63,Shortlist_xref!$A$5:$B$77,2,FALSE))=TRUE,"-",VLOOKUP(B63,Shortlist_xref!$A$5:$B$77,2,FALSE))</f>
        <v>-</v>
      </c>
      <c r="B63" s="57" t="s">
        <v>794</v>
      </c>
      <c r="C63" s="131" t="s">
        <v>795</v>
      </c>
      <c r="D63" s="138" t="s">
        <v>796</v>
      </c>
      <c r="E63" s="131" t="s">
        <v>12</v>
      </c>
      <c r="F63" s="132">
        <v>0.01</v>
      </c>
      <c r="G63" s="132">
        <v>0.85</v>
      </c>
      <c r="H63" s="133" t="s">
        <v>797</v>
      </c>
      <c r="I63" s="134">
        <v>3.2922736140324478E-3</v>
      </c>
      <c r="J63" s="123">
        <v>30.006607153565</v>
      </c>
      <c r="K63" s="136">
        <v>0</v>
      </c>
      <c r="L63" s="130" t="s">
        <v>666</v>
      </c>
      <c r="M63" s="198" t="s">
        <v>625</v>
      </c>
      <c r="N63" s="198" t="s">
        <v>381</v>
      </c>
      <c r="O63" s="198" t="s">
        <v>381</v>
      </c>
      <c r="P63" s="198" t="s">
        <v>381</v>
      </c>
      <c r="Q63" s="198" t="s">
        <v>381</v>
      </c>
      <c r="R63" s="173" t="s">
        <v>1171</v>
      </c>
      <c r="S63" s="173" t="s">
        <v>1171</v>
      </c>
      <c r="T63" s="173" t="s">
        <v>1171</v>
      </c>
      <c r="U63" s="173" t="s">
        <v>1172</v>
      </c>
      <c r="V63" s="173" t="s">
        <v>1172</v>
      </c>
      <c r="W63" s="30" t="b">
        <v>1</v>
      </c>
      <c r="X63" s="188" t="str">
        <f t="shared" si="0"/>
        <v>R-1NOx</v>
      </c>
      <c r="Y63" s="190" t="str">
        <f t="shared" si="1"/>
        <v>$5,000/ ton NOx</v>
      </c>
    </row>
    <row r="64" spans="1:25" ht="21.9" x14ac:dyDescent="0.3">
      <c r="A64" s="51" t="str">
        <f>IF(ISNA(VLOOKUP(B64,Shortlist_xref!$A$5:$B$77,2,FALSE))=TRUE,"-",VLOOKUP(B64,Shortlist_xref!$A$5:$B$77,2,FALSE))</f>
        <v>CE</v>
      </c>
      <c r="B64" s="57" t="s">
        <v>170</v>
      </c>
      <c r="C64" s="131" t="s">
        <v>171</v>
      </c>
      <c r="D64" s="138" t="s">
        <v>798</v>
      </c>
      <c r="E64" s="131" t="s">
        <v>12</v>
      </c>
      <c r="F64" s="132">
        <v>0.1</v>
      </c>
      <c r="G64" s="132">
        <v>0.54</v>
      </c>
      <c r="H64" s="133" t="s">
        <v>799</v>
      </c>
      <c r="I64" s="134">
        <v>1.2587324875620724E-2</v>
      </c>
      <c r="J64" s="123">
        <v>728.83504459182609</v>
      </c>
      <c r="K64" s="136">
        <v>0</v>
      </c>
      <c r="L64" s="130" t="s">
        <v>800</v>
      </c>
      <c r="M64" s="198" t="s">
        <v>614</v>
      </c>
      <c r="N64" s="198" t="s">
        <v>801</v>
      </c>
      <c r="O64" s="198" t="s">
        <v>802</v>
      </c>
      <c r="P64" s="198" t="s">
        <v>381</v>
      </c>
      <c r="Q64" s="198" t="s">
        <v>381</v>
      </c>
      <c r="R64" s="173" t="s">
        <v>1172</v>
      </c>
      <c r="S64" s="173" t="s">
        <v>1171</v>
      </c>
      <c r="T64" s="173" t="s">
        <v>1171</v>
      </c>
      <c r="U64" s="173" t="s">
        <v>1172</v>
      </c>
      <c r="V64" s="173" t="s">
        <v>1172</v>
      </c>
      <c r="W64" s="30" t="b">
        <v>1</v>
      </c>
      <c r="X64" s="188" t="str">
        <f t="shared" si="0"/>
        <v>R-2NOx</v>
      </c>
      <c r="Y64" s="190" t="str">
        <f t="shared" si="1"/>
        <v>$3,250/ ton NOx</v>
      </c>
    </row>
    <row r="65" spans="1:25" ht="24.2" x14ac:dyDescent="0.3">
      <c r="A65" s="51" t="str">
        <f>IF(ISNA(VLOOKUP(B65,Shortlist_xref!$A$5:$B$77,2,FALSE))=TRUE,"-",VLOOKUP(B65,Shortlist_xref!$A$5:$B$77,2,FALSE))</f>
        <v>-</v>
      </c>
      <c r="B65" s="57" t="s">
        <v>803</v>
      </c>
      <c r="C65" s="131" t="s">
        <v>171</v>
      </c>
      <c r="D65" s="138" t="s">
        <v>804</v>
      </c>
      <c r="E65" s="131" t="s">
        <v>12</v>
      </c>
      <c r="F65" s="132">
        <v>0.01</v>
      </c>
      <c r="G65" s="132">
        <v>0.8</v>
      </c>
      <c r="H65" s="133" t="s">
        <v>805</v>
      </c>
      <c r="I65" s="134">
        <v>0</v>
      </c>
      <c r="J65" s="123">
        <v>0</v>
      </c>
      <c r="K65" s="128" t="s">
        <v>705</v>
      </c>
      <c r="L65" s="130" t="s">
        <v>613</v>
      </c>
      <c r="M65" s="198" t="s">
        <v>614</v>
      </c>
      <c r="N65" s="198" t="s">
        <v>381</v>
      </c>
      <c r="O65" s="198" t="s">
        <v>381</v>
      </c>
      <c r="P65" s="198" t="s">
        <v>381</v>
      </c>
      <c r="Q65" s="198" t="s">
        <v>381</v>
      </c>
      <c r="R65" s="173" t="s">
        <v>1171</v>
      </c>
      <c r="S65" s="173" t="s">
        <v>1171</v>
      </c>
      <c r="T65" s="173" t="s">
        <v>1171</v>
      </c>
      <c r="U65" s="173" t="s">
        <v>1172</v>
      </c>
      <c r="V65" s="173" t="s">
        <v>1172</v>
      </c>
      <c r="W65" s="30" t="b">
        <v>1</v>
      </c>
      <c r="X65" s="188" t="str">
        <f t="shared" si="0"/>
        <v>R-3NOx</v>
      </c>
      <c r="Y65" s="190" t="str">
        <f t="shared" si="1"/>
        <v>$12,250 ton of NOx + diesel PM</v>
      </c>
    </row>
    <row r="66" spans="1:25" x14ac:dyDescent="0.3">
      <c r="A66" s="51" t="str">
        <f>IF(ISNA(VLOOKUP(B66,Shortlist_xref!$A$5:$B$77,2,FALSE))=TRUE,"-",VLOOKUP(B66,Shortlist_xref!$A$5:$B$77,2,FALSE))</f>
        <v>CE</v>
      </c>
      <c r="B66" s="57" t="s">
        <v>172</v>
      </c>
      <c r="C66" s="131" t="s">
        <v>171</v>
      </c>
      <c r="D66" s="138" t="s">
        <v>336</v>
      </c>
      <c r="E66" s="131" t="s">
        <v>12</v>
      </c>
      <c r="F66" s="132">
        <v>0.1</v>
      </c>
      <c r="G66" s="132">
        <v>0.1125</v>
      </c>
      <c r="H66" s="133" t="s">
        <v>799</v>
      </c>
      <c r="I66" s="134">
        <v>1.0139128401772168E-2</v>
      </c>
      <c r="J66" s="123">
        <v>122.30809190078625</v>
      </c>
      <c r="K66" s="136">
        <v>0</v>
      </c>
      <c r="L66" s="130" t="s">
        <v>693</v>
      </c>
      <c r="M66" s="198" t="s">
        <v>806</v>
      </c>
      <c r="N66" s="198" t="s">
        <v>807</v>
      </c>
      <c r="O66" s="198" t="s">
        <v>381</v>
      </c>
      <c r="P66" s="198" t="s">
        <v>381</v>
      </c>
      <c r="Q66" s="198" t="s">
        <v>381</v>
      </c>
      <c r="R66" s="173" t="s">
        <v>1171</v>
      </c>
      <c r="S66" s="173" t="s">
        <v>1171</v>
      </c>
      <c r="T66" s="173" t="s">
        <v>1171</v>
      </c>
      <c r="U66" s="173" t="s">
        <v>1171</v>
      </c>
      <c r="V66" s="173" t="s">
        <v>1171</v>
      </c>
      <c r="W66" s="30" t="b">
        <v>1</v>
      </c>
      <c r="X66" s="188" t="str">
        <f t="shared" si="0"/>
        <v>R-4NOx</v>
      </c>
      <c r="Y66" s="190" t="str">
        <f t="shared" si="1"/>
        <v>$3,250/ ton NOx</v>
      </c>
    </row>
    <row r="67" spans="1:25" ht="21.9" x14ac:dyDescent="0.3">
      <c r="A67" s="51" t="str">
        <f>IF(ISNA(VLOOKUP(B67,Shortlist_xref!$A$5:$B$77,2,FALSE))=TRUE,"-",VLOOKUP(B67,Shortlist_xref!$A$5:$B$77,2,FALSE))</f>
        <v>-</v>
      </c>
      <c r="B67" s="57" t="s">
        <v>808</v>
      </c>
      <c r="C67" s="131" t="s">
        <v>171</v>
      </c>
      <c r="D67" s="138" t="s">
        <v>809</v>
      </c>
      <c r="E67" s="131" t="s">
        <v>12</v>
      </c>
      <c r="F67" s="132">
        <v>0.01</v>
      </c>
      <c r="G67" s="132">
        <v>0.85</v>
      </c>
      <c r="H67" s="133" t="s">
        <v>797</v>
      </c>
      <c r="I67" s="134">
        <v>8.2535095021741528E-2</v>
      </c>
      <c r="J67" s="123" t="s">
        <v>37</v>
      </c>
      <c r="K67" s="136">
        <v>0</v>
      </c>
      <c r="L67" s="130" t="s">
        <v>810</v>
      </c>
      <c r="M67" s="198" t="s">
        <v>625</v>
      </c>
      <c r="N67" s="198" t="s">
        <v>381</v>
      </c>
      <c r="O67" s="198" t="s">
        <v>381</v>
      </c>
      <c r="P67" s="198" t="s">
        <v>381</v>
      </c>
      <c r="Q67" s="198" t="s">
        <v>381</v>
      </c>
      <c r="R67" s="173" t="s">
        <v>1171</v>
      </c>
      <c r="S67" s="173" t="s">
        <v>1171</v>
      </c>
      <c r="T67" s="173" t="s">
        <v>1171</v>
      </c>
      <c r="U67" s="173" t="s">
        <v>1171</v>
      </c>
      <c r="V67" s="173" t="s">
        <v>1171</v>
      </c>
      <c r="W67" s="30" t="b">
        <v>1</v>
      </c>
      <c r="X67" s="188" t="str">
        <f t="shared" si="0"/>
        <v>R-5NOx</v>
      </c>
      <c r="Y67" s="190" t="str">
        <f t="shared" si="1"/>
        <v>$5,000/ ton NOx</v>
      </c>
    </row>
    <row r="68" spans="1:25" x14ac:dyDescent="0.3">
      <c r="A68" s="47"/>
      <c r="B68" s="104" t="s">
        <v>173</v>
      </c>
      <c r="C68" s="56"/>
      <c r="D68" s="59"/>
      <c r="E68" s="56"/>
      <c r="F68" s="56"/>
      <c r="G68" s="56"/>
      <c r="H68" s="56"/>
      <c r="I68" s="56"/>
      <c r="J68" s="56"/>
      <c r="K68" s="60"/>
      <c r="L68" s="56"/>
      <c r="M68" s="197"/>
      <c r="N68" s="197"/>
      <c r="O68" s="197"/>
      <c r="P68" s="197"/>
      <c r="Q68" s="197"/>
      <c r="X68" s="188" t="str">
        <f t="shared" ref="X68:X114" si="2">B68&amp;E68</f>
        <v>Marine</v>
      </c>
      <c r="Y68" s="190">
        <f t="shared" ref="Y68:Y114" si="3">H68</f>
        <v>0</v>
      </c>
    </row>
    <row r="69" spans="1:25" x14ac:dyDescent="0.3">
      <c r="A69" s="51" t="str">
        <f>IF(ISNA(VLOOKUP(B69,Shortlist_xref!$A$5:$B$77,2,FALSE))=TRUE,"-",VLOOKUP(B69,Shortlist_xref!$A$5:$B$77,2,FALSE))</f>
        <v>-</v>
      </c>
      <c r="B69" s="57" t="s">
        <v>811</v>
      </c>
      <c r="C69" s="131" t="s">
        <v>812</v>
      </c>
      <c r="D69" s="138" t="s">
        <v>813</v>
      </c>
      <c r="E69" s="131" t="s">
        <v>12</v>
      </c>
      <c r="F69" s="132">
        <v>0.1</v>
      </c>
      <c r="G69" s="132">
        <v>0.65</v>
      </c>
      <c r="H69" s="133" t="s">
        <v>814</v>
      </c>
      <c r="I69" s="134">
        <v>7.983546131160011E-3</v>
      </c>
      <c r="J69" s="123">
        <v>556.43090226503784</v>
      </c>
      <c r="K69" s="136" t="s">
        <v>815</v>
      </c>
      <c r="L69" s="129" t="s">
        <v>816</v>
      </c>
      <c r="M69" s="198" t="s">
        <v>817</v>
      </c>
      <c r="N69" s="198" t="s">
        <v>381</v>
      </c>
      <c r="O69" s="198" t="s">
        <v>381</v>
      </c>
      <c r="P69" s="198" t="s">
        <v>381</v>
      </c>
      <c r="Q69" s="198" t="s">
        <v>381</v>
      </c>
      <c r="R69" s="173" t="s">
        <v>1171</v>
      </c>
      <c r="S69" s="173" t="s">
        <v>1171</v>
      </c>
      <c r="T69" s="173" t="s">
        <v>1171</v>
      </c>
      <c r="U69" s="173" t="s">
        <v>1171</v>
      </c>
      <c r="V69" s="173" t="s">
        <v>1171</v>
      </c>
      <c r="W69" s="30" t="b">
        <v>1</v>
      </c>
      <c r="X69" s="188" t="str">
        <f t="shared" si="2"/>
        <v>M-1NOx</v>
      </c>
      <c r="Y69" s="190" t="str">
        <f t="shared" si="3"/>
        <v>$1,000-10,000/ton NOx</v>
      </c>
    </row>
    <row r="70" spans="1:25" x14ac:dyDescent="0.3">
      <c r="A70" s="51" t="str">
        <f>IF(ISNA(VLOOKUP(B70,Shortlist_xref!$A$5:$B$77,2,FALSE))=TRUE,"-",VLOOKUP(B70,Shortlist_xref!$A$5:$B$77,2,FALSE))</f>
        <v>-</v>
      </c>
      <c r="B70" s="57" t="s">
        <v>818</v>
      </c>
      <c r="C70" s="131" t="s">
        <v>174</v>
      </c>
      <c r="D70" s="138" t="s">
        <v>819</v>
      </c>
      <c r="E70" s="131" t="s">
        <v>12</v>
      </c>
      <c r="F70" s="132">
        <v>0.01</v>
      </c>
      <c r="G70" s="132">
        <v>0.35</v>
      </c>
      <c r="H70" s="133" t="s">
        <v>37</v>
      </c>
      <c r="I70" s="134">
        <v>8.3791943430163787E-3</v>
      </c>
      <c r="J70" s="123">
        <v>31.446502732555626</v>
      </c>
      <c r="K70" s="136" t="s">
        <v>820</v>
      </c>
      <c r="L70" s="129" t="s">
        <v>821</v>
      </c>
      <c r="M70" s="198" t="s">
        <v>822</v>
      </c>
      <c r="N70" s="198" t="s">
        <v>381</v>
      </c>
      <c r="O70" s="198" t="s">
        <v>381</v>
      </c>
      <c r="P70" s="198" t="s">
        <v>381</v>
      </c>
      <c r="Q70" s="198" t="s">
        <v>381</v>
      </c>
      <c r="R70" s="173" t="s">
        <v>1172</v>
      </c>
      <c r="S70" s="173" t="s">
        <v>1171</v>
      </c>
      <c r="T70" s="173" t="s">
        <v>1171</v>
      </c>
      <c r="U70" s="173" t="s">
        <v>1172</v>
      </c>
      <c r="V70" s="173" t="s">
        <v>1172</v>
      </c>
      <c r="W70" s="30" t="b">
        <v>1</v>
      </c>
      <c r="X70" s="188" t="str">
        <f t="shared" si="2"/>
        <v>M-2NOx</v>
      </c>
      <c r="Y70" s="190" t="str">
        <f t="shared" si="3"/>
        <v>NA</v>
      </c>
    </row>
    <row r="71" spans="1:25" ht="26.5" x14ac:dyDescent="0.3">
      <c r="A71" s="51" t="str">
        <f>IF(ISNA(VLOOKUP(B71,Shortlist_xref!$A$5:$B$77,2,FALSE))=TRUE,"-",VLOOKUP(B71,Shortlist_xref!$A$5:$B$77,2,FALSE))</f>
        <v>-</v>
      </c>
      <c r="B71" s="57" t="s">
        <v>823</v>
      </c>
      <c r="C71" s="131" t="s">
        <v>174</v>
      </c>
      <c r="D71" s="138" t="s">
        <v>824</v>
      </c>
      <c r="E71" s="131" t="s">
        <v>12</v>
      </c>
      <c r="F71" s="132">
        <v>0.1</v>
      </c>
      <c r="G71" s="132">
        <v>0.9</v>
      </c>
      <c r="H71" s="133" t="s">
        <v>825</v>
      </c>
      <c r="I71" s="134">
        <v>1.7424182907977695E-4</v>
      </c>
      <c r="J71" s="123">
        <v>16.815004051295436</v>
      </c>
      <c r="K71" s="128" t="s">
        <v>826</v>
      </c>
      <c r="L71" s="129" t="s">
        <v>827</v>
      </c>
      <c r="M71" s="198" t="s">
        <v>828</v>
      </c>
      <c r="N71" s="198" t="s">
        <v>829</v>
      </c>
      <c r="O71" s="198" t="s">
        <v>374</v>
      </c>
      <c r="P71" s="198" t="s">
        <v>830</v>
      </c>
      <c r="Q71" s="198" t="s">
        <v>831</v>
      </c>
      <c r="R71" s="173" t="s">
        <v>1171</v>
      </c>
      <c r="S71" s="173" t="s">
        <v>1171</v>
      </c>
      <c r="T71" s="173" t="s">
        <v>1171</v>
      </c>
      <c r="U71" s="173" t="s">
        <v>1172</v>
      </c>
      <c r="V71" s="173" t="s">
        <v>1172</v>
      </c>
      <c r="W71" s="30" t="b">
        <v>1</v>
      </c>
      <c r="X71" s="188" t="str">
        <f t="shared" si="2"/>
        <v>M-3NOx</v>
      </c>
      <c r="Y71" s="190" t="str">
        <f t="shared" si="3"/>
        <v>$12,250 - NOx+PM combined</v>
      </c>
    </row>
    <row r="72" spans="1:25" ht="32.85" x14ac:dyDescent="0.3">
      <c r="A72" s="51" t="str">
        <f>IF(ISNA(VLOOKUP(B72,Shortlist_xref!$A$5:$B$77,2,FALSE))=TRUE,"-",VLOOKUP(B72,Shortlist_xref!$A$5:$B$77,2,FALSE))</f>
        <v>-</v>
      </c>
      <c r="B72" s="57" t="s">
        <v>832</v>
      </c>
      <c r="C72" s="131" t="s">
        <v>812</v>
      </c>
      <c r="D72" s="138" t="s">
        <v>833</v>
      </c>
      <c r="E72" s="131" t="s">
        <v>12</v>
      </c>
      <c r="F72" s="132">
        <v>0.1</v>
      </c>
      <c r="G72" s="132">
        <v>0.5</v>
      </c>
      <c r="H72" s="133" t="s">
        <v>834</v>
      </c>
      <c r="I72" s="134">
        <v>7.983546131160011E-3</v>
      </c>
      <c r="J72" s="123">
        <v>428.02377097310602</v>
      </c>
      <c r="K72" s="136" t="s">
        <v>835</v>
      </c>
      <c r="L72" s="129" t="s">
        <v>836</v>
      </c>
      <c r="M72" s="198" t="s">
        <v>837</v>
      </c>
      <c r="N72" s="198" t="s">
        <v>838</v>
      </c>
      <c r="O72" s="198"/>
      <c r="P72" s="198"/>
      <c r="Q72" s="198"/>
      <c r="R72" s="173" t="s">
        <v>1172</v>
      </c>
      <c r="S72" s="173" t="s">
        <v>1172</v>
      </c>
      <c r="T72" s="173" t="s">
        <v>1172</v>
      </c>
      <c r="U72" s="173" t="s">
        <v>1172</v>
      </c>
      <c r="V72" s="173" t="s">
        <v>1172</v>
      </c>
      <c r="W72" s="30" t="b">
        <v>1</v>
      </c>
      <c r="X72" s="188" t="str">
        <f t="shared" si="2"/>
        <v>M-4, M-5NOx</v>
      </c>
      <c r="Y72" s="190" t="str">
        <f t="shared" si="3"/>
        <v>$500-$5000 /ton NOx</v>
      </c>
    </row>
    <row r="73" spans="1:25" x14ac:dyDescent="0.3">
      <c r="A73" s="51" t="str">
        <f>IF(ISNA(VLOOKUP(B73,Shortlist_xref!$A$5:$B$77,2,FALSE))=TRUE,"-",VLOOKUP(B73,Shortlist_xref!$A$5:$B$77,2,FALSE))</f>
        <v>EmissRed</v>
      </c>
      <c r="B73" s="57" t="s">
        <v>175</v>
      </c>
      <c r="C73" s="131" t="s">
        <v>174</v>
      </c>
      <c r="D73" s="138" t="s">
        <v>176</v>
      </c>
      <c r="E73" s="131" t="s">
        <v>12</v>
      </c>
      <c r="F73" s="132">
        <v>0.5</v>
      </c>
      <c r="G73" s="132">
        <v>0.5</v>
      </c>
      <c r="H73" s="133" t="s">
        <v>839</v>
      </c>
      <c r="I73" s="134">
        <v>6.9764231393412597E-3</v>
      </c>
      <c r="J73" s="123">
        <v>1870.1432239178428</v>
      </c>
      <c r="K73" s="136" t="s">
        <v>820</v>
      </c>
      <c r="L73" s="129" t="s">
        <v>816</v>
      </c>
      <c r="M73" s="198" t="s">
        <v>840</v>
      </c>
      <c r="N73" s="198" t="s">
        <v>381</v>
      </c>
      <c r="O73" s="198" t="s">
        <v>381</v>
      </c>
      <c r="P73" s="198" t="s">
        <v>381</v>
      </c>
      <c r="Q73" s="198" t="s">
        <v>381</v>
      </c>
      <c r="R73" s="173" t="s">
        <v>1171</v>
      </c>
      <c r="S73" s="173" t="s">
        <v>1171</v>
      </c>
      <c r="T73" s="173" t="s">
        <v>1171</v>
      </c>
      <c r="U73" s="173" t="s">
        <v>1171</v>
      </c>
      <c r="V73" s="173" t="s">
        <v>1171</v>
      </c>
      <c r="W73" s="30" t="b">
        <v>1</v>
      </c>
      <c r="X73" s="188" t="str">
        <f t="shared" si="2"/>
        <v>M-6NOx</v>
      </c>
      <c r="Y73" s="190" t="str">
        <f t="shared" si="3"/>
        <v>$0</v>
      </c>
    </row>
    <row r="74" spans="1:25" ht="39.75" x14ac:dyDescent="0.3">
      <c r="A74" s="51" t="str">
        <f>IF(ISNA(VLOOKUP(B74,Shortlist_xref!$A$5:$B$77,2,FALSE))=TRUE,"-",VLOOKUP(B74,Shortlist_xref!$A$5:$B$77,2,FALSE))</f>
        <v>-</v>
      </c>
      <c r="B74" s="57" t="s">
        <v>841</v>
      </c>
      <c r="C74" s="131" t="s">
        <v>174</v>
      </c>
      <c r="D74" s="138" t="s">
        <v>842</v>
      </c>
      <c r="E74" s="131" t="s">
        <v>12</v>
      </c>
      <c r="F74" s="132">
        <v>1</v>
      </c>
      <c r="G74" s="132">
        <v>0</v>
      </c>
      <c r="H74" s="133" t="s">
        <v>37</v>
      </c>
      <c r="I74" s="134">
        <v>8.3791943430163787E-3</v>
      </c>
      <c r="J74" s="123">
        <v>0</v>
      </c>
      <c r="K74" s="136" t="s">
        <v>843</v>
      </c>
      <c r="L74" s="129" t="s">
        <v>816</v>
      </c>
      <c r="M74" s="198" t="s">
        <v>840</v>
      </c>
      <c r="N74" s="198" t="s">
        <v>381</v>
      </c>
      <c r="O74" s="198" t="s">
        <v>381</v>
      </c>
      <c r="P74" s="198" t="s">
        <v>381</v>
      </c>
      <c r="Q74" s="198" t="s">
        <v>381</v>
      </c>
      <c r="R74" s="173" t="s">
        <v>1171</v>
      </c>
      <c r="S74" s="173" t="s">
        <v>1172</v>
      </c>
      <c r="T74" s="173" t="s">
        <v>1171</v>
      </c>
      <c r="U74" s="173" t="s">
        <v>1172</v>
      </c>
      <c r="V74" s="173" t="s">
        <v>1172</v>
      </c>
      <c r="W74" s="30" t="b">
        <v>1</v>
      </c>
      <c r="X74" s="188" t="str">
        <f t="shared" si="2"/>
        <v>M-7NOx</v>
      </c>
      <c r="Y74" s="190" t="str">
        <f t="shared" si="3"/>
        <v>NA</v>
      </c>
    </row>
    <row r="75" spans="1:25" ht="24.2" x14ac:dyDescent="0.3">
      <c r="A75" s="51" t="str">
        <f>IF(ISNA(VLOOKUP(B75,Shortlist_xref!$A$5:$B$77,2,FALSE))=TRUE,"-",VLOOKUP(B75,Shortlist_xref!$A$5:$B$77,2,FALSE))</f>
        <v>-</v>
      </c>
      <c r="B75" s="57" t="s">
        <v>844</v>
      </c>
      <c r="C75" s="131" t="s">
        <v>174</v>
      </c>
      <c r="D75" s="138" t="s">
        <v>845</v>
      </c>
      <c r="E75" s="131" t="s">
        <v>12</v>
      </c>
      <c r="F75" s="132">
        <v>0.01</v>
      </c>
      <c r="G75" s="132">
        <v>0.85</v>
      </c>
      <c r="H75" s="133" t="s">
        <v>37</v>
      </c>
      <c r="I75" s="134">
        <v>7.206807381949551E-3</v>
      </c>
      <c r="J75" s="123">
        <v>65.684649362026306</v>
      </c>
      <c r="K75" s="136" t="s">
        <v>820</v>
      </c>
      <c r="L75" s="129" t="s">
        <v>816</v>
      </c>
      <c r="M75" s="198" t="s">
        <v>840</v>
      </c>
      <c r="N75" s="198" t="s">
        <v>381</v>
      </c>
      <c r="O75" s="198" t="s">
        <v>381</v>
      </c>
      <c r="P75" s="198" t="s">
        <v>381</v>
      </c>
      <c r="Q75" s="198" t="s">
        <v>381</v>
      </c>
      <c r="R75" s="173" t="s">
        <v>1171</v>
      </c>
      <c r="S75" s="173" t="s">
        <v>1171</v>
      </c>
      <c r="T75" s="173" t="s">
        <v>1171</v>
      </c>
      <c r="U75" s="173" t="s">
        <v>1171</v>
      </c>
      <c r="V75" s="173" t="s">
        <v>1171</v>
      </c>
      <c r="W75" s="30" t="b">
        <v>1</v>
      </c>
      <c r="X75" s="188" t="str">
        <f t="shared" si="2"/>
        <v>M-8NOx</v>
      </c>
      <c r="Y75" s="190" t="str">
        <f t="shared" si="3"/>
        <v>NA</v>
      </c>
    </row>
    <row r="76" spans="1:25" x14ac:dyDescent="0.3">
      <c r="A76" s="51" t="str">
        <f>IF(ISNA(VLOOKUP(B76,Shortlist_xref!$A$5:$B$77,2,FALSE))=TRUE,"-",VLOOKUP(B76,Shortlist_xref!$A$5:$B$77,2,FALSE))</f>
        <v>-</v>
      </c>
      <c r="B76" s="57" t="s">
        <v>846</v>
      </c>
      <c r="C76" s="131" t="s">
        <v>174</v>
      </c>
      <c r="D76" s="138" t="s">
        <v>847</v>
      </c>
      <c r="E76" s="131" t="s">
        <v>12</v>
      </c>
      <c r="F76" s="132">
        <v>0.01</v>
      </c>
      <c r="G76" s="132">
        <v>0.2</v>
      </c>
      <c r="H76" s="133" t="s">
        <v>37</v>
      </c>
      <c r="I76" s="134">
        <v>7.206807381949551E-3</v>
      </c>
      <c r="J76" s="123">
        <v>15.455211614594425</v>
      </c>
      <c r="K76" s="136" t="s">
        <v>820</v>
      </c>
      <c r="L76" s="129" t="s">
        <v>816</v>
      </c>
      <c r="M76" s="198" t="s">
        <v>840</v>
      </c>
      <c r="N76" s="198" t="s">
        <v>381</v>
      </c>
      <c r="O76" s="198" t="s">
        <v>381</v>
      </c>
      <c r="P76" s="198" t="s">
        <v>381</v>
      </c>
      <c r="Q76" s="198" t="s">
        <v>381</v>
      </c>
      <c r="R76" s="173" t="s">
        <v>1171</v>
      </c>
      <c r="S76" s="173" t="s">
        <v>1171</v>
      </c>
      <c r="T76" s="173" t="s">
        <v>1171</v>
      </c>
      <c r="U76" s="173" t="s">
        <v>1171</v>
      </c>
      <c r="V76" s="173" t="s">
        <v>1171</v>
      </c>
      <c r="W76" s="30" t="b">
        <v>1</v>
      </c>
      <c r="X76" s="188" t="str">
        <f t="shared" si="2"/>
        <v>M-9NOx</v>
      </c>
      <c r="Y76" s="190" t="str">
        <f t="shared" si="3"/>
        <v>NA</v>
      </c>
    </row>
    <row r="77" spans="1:25" x14ac:dyDescent="0.3">
      <c r="A77" s="51" t="str">
        <f>IF(ISNA(VLOOKUP(B77,Shortlist_xref!$A$5:$B$77,2,FALSE))=TRUE,"-",VLOOKUP(B77,Shortlist_xref!$A$5:$B$77,2,FALSE))</f>
        <v>-</v>
      </c>
      <c r="B77" s="57" t="s">
        <v>848</v>
      </c>
      <c r="C77" s="131" t="s">
        <v>174</v>
      </c>
      <c r="D77" s="138" t="s">
        <v>849</v>
      </c>
      <c r="E77" s="131" t="s">
        <v>12</v>
      </c>
      <c r="F77" s="132">
        <v>0.01</v>
      </c>
      <c r="G77" s="132">
        <v>0.25</v>
      </c>
      <c r="H77" s="133" t="s">
        <v>37</v>
      </c>
      <c r="I77" s="134">
        <v>8.3791943430163787E-3</v>
      </c>
      <c r="J77" s="123">
        <v>22.461787666111164</v>
      </c>
      <c r="K77" s="136" t="s">
        <v>820</v>
      </c>
      <c r="L77" s="129" t="s">
        <v>816</v>
      </c>
      <c r="M77" s="198" t="s">
        <v>840</v>
      </c>
      <c r="N77" s="198" t="s">
        <v>381</v>
      </c>
      <c r="O77" s="198" t="s">
        <v>381</v>
      </c>
      <c r="P77" s="198" t="s">
        <v>381</v>
      </c>
      <c r="Q77" s="198" t="s">
        <v>381</v>
      </c>
      <c r="R77" s="173" t="s">
        <v>1171</v>
      </c>
      <c r="S77" s="173" t="s">
        <v>1171</v>
      </c>
      <c r="T77" s="173" t="s">
        <v>1171</v>
      </c>
      <c r="U77" s="173" t="s">
        <v>1171</v>
      </c>
      <c r="V77" s="173" t="s">
        <v>1171</v>
      </c>
      <c r="W77" s="30" t="b">
        <v>1</v>
      </c>
      <c r="X77" s="188" t="str">
        <f t="shared" si="2"/>
        <v>M-10NOx</v>
      </c>
      <c r="Y77" s="190" t="str">
        <f t="shared" si="3"/>
        <v>NA</v>
      </c>
    </row>
    <row r="78" spans="1:25" x14ac:dyDescent="0.3">
      <c r="A78" s="51" t="str">
        <f>IF(ISNA(VLOOKUP(B78,Shortlist_xref!$A$5:$B$77,2,FALSE))=TRUE,"-",VLOOKUP(B78,Shortlist_xref!$A$5:$B$77,2,FALSE))</f>
        <v>-</v>
      </c>
      <c r="B78" s="57" t="s">
        <v>850</v>
      </c>
      <c r="C78" s="131" t="s">
        <v>174</v>
      </c>
      <c r="D78" s="138" t="s">
        <v>851</v>
      </c>
      <c r="E78" s="131" t="s">
        <v>12</v>
      </c>
      <c r="F78" s="132">
        <v>0.01</v>
      </c>
      <c r="G78" s="132">
        <v>0.5</v>
      </c>
      <c r="H78" s="133" t="s">
        <v>37</v>
      </c>
      <c r="I78" s="134">
        <v>8.3791943430163787E-3</v>
      </c>
      <c r="J78" s="123">
        <v>44.923575332222327</v>
      </c>
      <c r="K78" s="136" t="s">
        <v>820</v>
      </c>
      <c r="L78" s="129" t="s">
        <v>816</v>
      </c>
      <c r="M78" s="198" t="s">
        <v>840</v>
      </c>
      <c r="N78" s="198" t="s">
        <v>381</v>
      </c>
      <c r="O78" s="198" t="s">
        <v>381</v>
      </c>
      <c r="P78" s="198" t="s">
        <v>381</v>
      </c>
      <c r="Q78" s="198" t="s">
        <v>381</v>
      </c>
      <c r="R78" s="173" t="s">
        <v>1171</v>
      </c>
      <c r="S78" s="173" t="s">
        <v>1171</v>
      </c>
      <c r="T78" s="173" t="s">
        <v>1171</v>
      </c>
      <c r="U78" s="173" t="s">
        <v>1171</v>
      </c>
      <c r="V78" s="173" t="s">
        <v>1171</v>
      </c>
      <c r="W78" s="30" t="b">
        <v>1</v>
      </c>
      <c r="X78" s="188" t="str">
        <f t="shared" si="2"/>
        <v>M-11NOx</v>
      </c>
      <c r="Y78" s="190" t="str">
        <f t="shared" si="3"/>
        <v>NA</v>
      </c>
    </row>
    <row r="79" spans="1:25" x14ac:dyDescent="0.3">
      <c r="A79" s="47"/>
      <c r="B79" s="104" t="s">
        <v>177</v>
      </c>
      <c r="C79" s="56"/>
      <c r="D79" s="59"/>
      <c r="E79" s="56"/>
      <c r="F79" s="56"/>
      <c r="G79" s="56"/>
      <c r="H79" s="56"/>
      <c r="I79" s="56"/>
      <c r="J79" s="56"/>
      <c r="K79" s="60"/>
      <c r="L79" s="56"/>
      <c r="M79" s="197"/>
      <c r="N79" s="197"/>
      <c r="O79" s="197"/>
      <c r="P79" s="197"/>
      <c r="Q79" s="197"/>
      <c r="X79" s="188" t="str">
        <f t="shared" si="2"/>
        <v>Airports</v>
      </c>
      <c r="Y79" s="190">
        <f t="shared" si="3"/>
        <v>0</v>
      </c>
    </row>
    <row r="80" spans="1:25" x14ac:dyDescent="0.3">
      <c r="A80" s="51" t="str">
        <f>IF(ISNA(VLOOKUP(B80,Shortlist_xref!$A$5:$B$77,2,FALSE))=TRUE,"-",VLOOKUP(B80,Shortlist_xref!$A$5:$B$77,2,FALSE))</f>
        <v>-</v>
      </c>
      <c r="B80" s="57" t="s">
        <v>852</v>
      </c>
      <c r="C80" s="131" t="s">
        <v>853</v>
      </c>
      <c r="D80" s="138" t="s">
        <v>854</v>
      </c>
      <c r="E80" s="131" t="s">
        <v>12</v>
      </c>
      <c r="F80" s="132" t="s">
        <v>37</v>
      </c>
      <c r="G80" s="132" t="s">
        <v>37</v>
      </c>
      <c r="H80" s="133" t="s">
        <v>37</v>
      </c>
      <c r="I80" s="134">
        <v>2.6002891569767803E-2</v>
      </c>
      <c r="J80" s="123" t="s">
        <v>37</v>
      </c>
      <c r="K80" s="136">
        <v>0</v>
      </c>
      <c r="L80" s="130" t="s">
        <v>666</v>
      </c>
      <c r="M80" s="198" t="s">
        <v>625</v>
      </c>
      <c r="N80" s="198" t="s">
        <v>381</v>
      </c>
      <c r="O80" s="198" t="s">
        <v>381</v>
      </c>
      <c r="P80" s="198" t="s">
        <v>381</v>
      </c>
      <c r="Q80" s="198" t="s">
        <v>381</v>
      </c>
      <c r="R80" s="173" t="s">
        <v>1171</v>
      </c>
      <c r="S80" s="173" t="s">
        <v>1171</v>
      </c>
      <c r="T80" s="173" t="s">
        <v>1171</v>
      </c>
      <c r="U80" s="173" t="s">
        <v>1172</v>
      </c>
      <c r="V80" s="173" t="s">
        <v>1171</v>
      </c>
      <c r="W80" s="30" t="b">
        <v>1</v>
      </c>
      <c r="X80" s="188" t="str">
        <f t="shared" si="2"/>
        <v>A-1NOx</v>
      </c>
      <c r="Y80" s="190" t="str">
        <f t="shared" si="3"/>
        <v>NA</v>
      </c>
    </row>
    <row r="81" spans="1:25" ht="26.5" x14ac:dyDescent="0.3">
      <c r="A81" s="51" t="str">
        <f>IF(ISNA(VLOOKUP(B81,Shortlist_xref!$A$5:$B$77,2,FALSE))=TRUE,"-",VLOOKUP(B81,Shortlist_xref!$A$5:$B$77,2,FALSE))</f>
        <v>CE</v>
      </c>
      <c r="B81" s="57" t="s">
        <v>206</v>
      </c>
      <c r="C81" s="131" t="s">
        <v>178</v>
      </c>
      <c r="D81" s="138" t="s">
        <v>207</v>
      </c>
      <c r="E81" s="131" t="s">
        <v>12</v>
      </c>
      <c r="F81" s="132">
        <v>0.01</v>
      </c>
      <c r="G81" s="132">
        <v>0.65</v>
      </c>
      <c r="H81" s="133" t="s">
        <v>855</v>
      </c>
      <c r="I81" s="134">
        <v>1.042221851118114E-3</v>
      </c>
      <c r="J81" s="123">
        <v>7.2639956662181531</v>
      </c>
      <c r="K81" s="128" t="s">
        <v>705</v>
      </c>
      <c r="L81" s="130" t="s">
        <v>613</v>
      </c>
      <c r="M81" s="198" t="s">
        <v>614</v>
      </c>
      <c r="N81" s="198" t="s">
        <v>381</v>
      </c>
      <c r="O81" s="198" t="s">
        <v>381</v>
      </c>
      <c r="P81" s="198" t="s">
        <v>381</v>
      </c>
      <c r="Q81" s="198" t="s">
        <v>381</v>
      </c>
      <c r="R81" s="173" t="s">
        <v>1171</v>
      </c>
      <c r="S81" s="173" t="s">
        <v>1171</v>
      </c>
      <c r="T81" s="173" t="s">
        <v>1171</v>
      </c>
      <c r="U81" s="173" t="s">
        <v>1172</v>
      </c>
      <c r="V81" s="173" t="s">
        <v>1172</v>
      </c>
      <c r="W81" s="30" t="b">
        <v>1</v>
      </c>
      <c r="X81" s="188" t="str">
        <f t="shared" si="2"/>
        <v>A-2NOx</v>
      </c>
      <c r="Y81" s="190" t="str">
        <f t="shared" si="3"/>
        <v xml:space="preserve">$2,218 / ton VOC+CO+NOx combined </v>
      </c>
    </row>
    <row r="82" spans="1:25" ht="26.5" x14ac:dyDescent="0.3">
      <c r="A82" s="51" t="str">
        <f>IF(ISNA(VLOOKUP(B82,Shortlist_xref!$A$5:$B$77,2,FALSE))=TRUE,"-",VLOOKUP(B82,Shortlist_xref!$A$5:$B$77,2,FALSE))</f>
        <v>CE</v>
      </c>
      <c r="B82" s="57" t="s">
        <v>206</v>
      </c>
      <c r="C82" s="131" t="s">
        <v>178</v>
      </c>
      <c r="D82" s="138" t="s">
        <v>207</v>
      </c>
      <c r="E82" s="131" t="s">
        <v>53</v>
      </c>
      <c r="F82" s="132">
        <v>0.01</v>
      </c>
      <c r="G82" s="132">
        <v>0.3</v>
      </c>
      <c r="H82" s="133" t="s">
        <v>855</v>
      </c>
      <c r="I82" s="134">
        <v>2.3777421680653047E-4</v>
      </c>
      <c r="J82" s="123">
        <v>1.0761189574048693</v>
      </c>
      <c r="K82" s="128" t="s">
        <v>705</v>
      </c>
      <c r="L82" s="130" t="s">
        <v>613</v>
      </c>
      <c r="M82" s="198" t="s">
        <v>614</v>
      </c>
      <c r="N82" s="198" t="s">
        <v>381</v>
      </c>
      <c r="O82" s="198" t="s">
        <v>381</v>
      </c>
      <c r="P82" s="198" t="s">
        <v>381</v>
      </c>
      <c r="Q82" s="198" t="s">
        <v>381</v>
      </c>
      <c r="R82" s="173" t="s">
        <v>1171</v>
      </c>
      <c r="S82" s="173" t="s">
        <v>1171</v>
      </c>
      <c r="T82" s="173" t="s">
        <v>1171</v>
      </c>
      <c r="U82" s="173" t="s">
        <v>1172</v>
      </c>
      <c r="V82" s="173" t="s">
        <v>1172</v>
      </c>
      <c r="W82" s="30" t="b">
        <v>1</v>
      </c>
      <c r="X82" s="188" t="str">
        <f t="shared" si="2"/>
        <v>A-2VOC</v>
      </c>
      <c r="Y82" s="190" t="str">
        <f t="shared" si="3"/>
        <v xml:space="preserve">$2,218 / ton VOC+CO+NOx combined </v>
      </c>
    </row>
    <row r="83" spans="1:25" x14ac:dyDescent="0.3">
      <c r="A83" s="51" t="str">
        <f>IF(ISNA(VLOOKUP(B83,Shortlist_xref!$A$5:$B$77,2,FALSE))=TRUE,"-",VLOOKUP(B83,Shortlist_xref!$A$5:$B$77,2,FALSE))</f>
        <v>-</v>
      </c>
      <c r="B83" s="57" t="s">
        <v>856</v>
      </c>
      <c r="C83" s="131" t="s">
        <v>178</v>
      </c>
      <c r="D83" s="138" t="s">
        <v>773</v>
      </c>
      <c r="E83" s="131" t="s">
        <v>12</v>
      </c>
      <c r="F83" s="132">
        <v>0.01</v>
      </c>
      <c r="G83" s="132">
        <v>1</v>
      </c>
      <c r="H83" s="133" t="s">
        <v>857</v>
      </c>
      <c r="I83" s="134">
        <v>1.042221851118114E-3</v>
      </c>
      <c r="J83" s="123">
        <v>11.175377948027927</v>
      </c>
      <c r="K83" s="136">
        <v>0</v>
      </c>
      <c r="L83" s="130" t="s">
        <v>613</v>
      </c>
      <c r="M83" s="198" t="s">
        <v>614</v>
      </c>
      <c r="N83" s="198" t="s">
        <v>381</v>
      </c>
      <c r="O83" s="198" t="s">
        <v>381</v>
      </c>
      <c r="P83" s="198" t="s">
        <v>381</v>
      </c>
      <c r="Q83" s="198" t="s">
        <v>381</v>
      </c>
      <c r="R83" s="173" t="s">
        <v>1171</v>
      </c>
      <c r="S83" s="173" t="s">
        <v>1171</v>
      </c>
      <c r="T83" s="173" t="s">
        <v>1171</v>
      </c>
      <c r="U83" s="173" t="s">
        <v>1172</v>
      </c>
      <c r="V83" s="173" t="s">
        <v>1172</v>
      </c>
      <c r="W83" s="30" t="b">
        <v>1</v>
      </c>
      <c r="X83" s="188" t="str">
        <f t="shared" si="2"/>
        <v>A-3NOx</v>
      </c>
      <c r="Y83" s="190" t="str">
        <f t="shared" si="3"/>
        <v>$5,800/ ton NOx</v>
      </c>
    </row>
    <row r="84" spans="1:25" x14ac:dyDescent="0.3">
      <c r="A84" s="51" t="str">
        <f>IF(ISNA(VLOOKUP(B84,Shortlist_xref!$A$5:$B$77,2,FALSE))=TRUE,"-",VLOOKUP(B84,Shortlist_xref!$A$5:$B$77,2,FALSE))</f>
        <v>-</v>
      </c>
      <c r="B84" s="57" t="s">
        <v>856</v>
      </c>
      <c r="C84" s="131" t="s">
        <v>178</v>
      </c>
      <c r="D84" s="138" t="s">
        <v>773</v>
      </c>
      <c r="E84" s="131" t="s">
        <v>53</v>
      </c>
      <c r="F84" s="132">
        <v>0.01</v>
      </c>
      <c r="G84" s="132">
        <v>1</v>
      </c>
      <c r="H84" s="133" t="s">
        <v>37</v>
      </c>
      <c r="I84" s="134">
        <v>2.3777421680653047E-4</v>
      </c>
      <c r="J84" s="123">
        <v>3.5870631913495643</v>
      </c>
      <c r="K84" s="136" t="s">
        <v>858</v>
      </c>
      <c r="L84" s="130" t="s">
        <v>613</v>
      </c>
      <c r="M84" s="198" t="s">
        <v>614</v>
      </c>
      <c r="N84" s="198" t="s">
        <v>381</v>
      </c>
      <c r="O84" s="198" t="s">
        <v>381</v>
      </c>
      <c r="P84" s="198" t="s">
        <v>381</v>
      </c>
      <c r="Q84" s="198" t="s">
        <v>381</v>
      </c>
      <c r="R84" s="173" t="s">
        <v>1171</v>
      </c>
      <c r="S84" s="173" t="s">
        <v>1171</v>
      </c>
      <c r="T84" s="173" t="s">
        <v>1171</v>
      </c>
      <c r="U84" s="173" t="s">
        <v>1172</v>
      </c>
      <c r="V84" s="173" t="s">
        <v>1172</v>
      </c>
      <c r="W84" s="30" t="b">
        <v>1</v>
      </c>
      <c r="X84" s="188" t="str">
        <f t="shared" si="2"/>
        <v>A-3VOC</v>
      </c>
      <c r="Y84" s="190" t="str">
        <f t="shared" si="3"/>
        <v>NA</v>
      </c>
    </row>
    <row r="85" spans="1:25" x14ac:dyDescent="0.3">
      <c r="A85" s="47"/>
      <c r="B85" s="104" t="s">
        <v>179</v>
      </c>
      <c r="C85" s="56"/>
      <c r="D85" s="59"/>
      <c r="E85" s="56"/>
      <c r="F85" s="56"/>
      <c r="G85" s="56"/>
      <c r="H85" s="56"/>
      <c r="I85" s="56"/>
      <c r="J85" s="56"/>
      <c r="K85" s="60"/>
      <c r="L85" s="56"/>
      <c r="M85" s="197"/>
      <c r="N85" s="197"/>
      <c r="O85" s="197"/>
      <c r="P85" s="197"/>
      <c r="Q85" s="197"/>
      <c r="X85" s="188" t="str">
        <f t="shared" si="2"/>
        <v>Additional measures suggested by states/LADCO</v>
      </c>
      <c r="Y85" s="190">
        <f t="shared" si="3"/>
        <v>0</v>
      </c>
    </row>
    <row r="86" spans="1:25" ht="24.2" x14ac:dyDescent="0.3">
      <c r="A86" s="51" t="str">
        <f>IF(ISNA(VLOOKUP(B86,Shortlist_xref!$A$5:$B$77,2,FALSE))=TRUE,"-",VLOOKUP(B86,Shortlist_xref!$A$5:$B$77,2,FALSE))</f>
        <v>CE</v>
      </c>
      <c r="B86" s="57" t="s">
        <v>180</v>
      </c>
      <c r="C86" s="131" t="s">
        <v>181</v>
      </c>
      <c r="D86" s="138" t="s">
        <v>182</v>
      </c>
      <c r="E86" s="131" t="s">
        <v>12</v>
      </c>
      <c r="F86" s="132">
        <v>0.01</v>
      </c>
      <c r="G86" s="132">
        <v>2.7999999999999997E-2</v>
      </c>
      <c r="H86" s="133" t="s">
        <v>859</v>
      </c>
      <c r="I86" s="134">
        <v>9.7099050388806174E-2</v>
      </c>
      <c r="J86" s="123">
        <v>29.152450017345824</v>
      </c>
      <c r="K86" s="136">
        <v>0</v>
      </c>
      <c r="L86" s="130" t="s">
        <v>860</v>
      </c>
      <c r="M86" s="198" t="s">
        <v>861</v>
      </c>
      <c r="N86" s="198" t="s">
        <v>862</v>
      </c>
      <c r="O86" s="198" t="s">
        <v>381</v>
      </c>
      <c r="P86" s="198" t="s">
        <v>381</v>
      </c>
      <c r="Q86" s="198" t="s">
        <v>381</v>
      </c>
      <c r="R86" s="173" t="s">
        <v>1171</v>
      </c>
      <c r="S86" s="173" t="s">
        <v>1171</v>
      </c>
      <c r="T86" s="173" t="s">
        <v>1171</v>
      </c>
      <c r="U86" s="173" t="s">
        <v>1171</v>
      </c>
      <c r="V86" s="173" t="s">
        <v>1171</v>
      </c>
      <c r="W86" s="30" t="b">
        <v>1</v>
      </c>
      <c r="X86" s="188" t="str">
        <f t="shared" si="2"/>
        <v>O-33NOx</v>
      </c>
      <c r="Y86" s="190" t="str">
        <f t="shared" si="3"/>
        <v>$ 0</v>
      </c>
    </row>
    <row r="87" spans="1:25" ht="24.2" x14ac:dyDescent="0.3">
      <c r="A87" s="51" t="str">
        <f>IF(ISNA(VLOOKUP(B87,Shortlist_xref!$A$5:$B$77,2,FALSE))=TRUE,"-",VLOOKUP(B87,Shortlist_xref!$A$5:$B$77,2,FALSE))</f>
        <v>CE</v>
      </c>
      <c r="B87" s="57" t="s">
        <v>180</v>
      </c>
      <c r="C87" s="131" t="s">
        <v>181</v>
      </c>
      <c r="D87" s="138" t="s">
        <v>182</v>
      </c>
      <c r="E87" s="131" t="s">
        <v>53</v>
      </c>
      <c r="F87" s="132">
        <v>0.01</v>
      </c>
      <c r="G87" s="132">
        <v>1.6749999999999998E-2</v>
      </c>
      <c r="H87" s="133" t="s">
        <v>859</v>
      </c>
      <c r="I87" s="134">
        <v>8.5013330242014726E-2</v>
      </c>
      <c r="J87" s="123">
        <v>21.482069049912266</v>
      </c>
      <c r="K87" s="136">
        <v>0</v>
      </c>
      <c r="L87" s="130" t="s">
        <v>860</v>
      </c>
      <c r="M87" s="198" t="s">
        <v>861</v>
      </c>
      <c r="N87" s="198" t="s">
        <v>862</v>
      </c>
      <c r="O87" s="198" t="s">
        <v>381</v>
      </c>
      <c r="P87" s="198" t="s">
        <v>381</v>
      </c>
      <c r="Q87" s="198" t="s">
        <v>381</v>
      </c>
      <c r="R87" s="173" t="s">
        <v>1171</v>
      </c>
      <c r="S87" s="173" t="s">
        <v>1171</v>
      </c>
      <c r="T87" s="173" t="s">
        <v>1171</v>
      </c>
      <c r="U87" s="173" t="s">
        <v>1171</v>
      </c>
      <c r="V87" s="173" t="s">
        <v>1171</v>
      </c>
      <c r="W87" s="30" t="b">
        <v>1</v>
      </c>
      <c r="X87" s="188" t="str">
        <f t="shared" si="2"/>
        <v>O-33VOC</v>
      </c>
      <c r="Y87" s="190" t="str">
        <f t="shared" si="3"/>
        <v>$ 0</v>
      </c>
    </row>
    <row r="88" spans="1:25" x14ac:dyDescent="0.3">
      <c r="A88" s="51" t="str">
        <f>IF(ISNA(VLOOKUP(B88,Shortlist_xref!$A$5:$B$77,2,FALSE))=TRUE,"-",VLOOKUP(B88,Shortlist_xref!$A$5:$B$77,2,FALSE))</f>
        <v>R-Select</v>
      </c>
      <c r="B88" s="57" t="s">
        <v>183</v>
      </c>
      <c r="C88" s="131" t="s">
        <v>181</v>
      </c>
      <c r="D88" s="138" t="s">
        <v>184</v>
      </c>
      <c r="E88" s="131" t="s">
        <v>12</v>
      </c>
      <c r="F88" s="132">
        <v>0.01</v>
      </c>
      <c r="G88" s="132">
        <v>0.1255</v>
      </c>
      <c r="H88" s="133" t="s">
        <v>863</v>
      </c>
      <c r="I88" s="134">
        <v>9.7099050388806174E-2</v>
      </c>
      <c r="J88" s="123">
        <v>130.66544561346078</v>
      </c>
      <c r="K88" s="136">
        <v>0</v>
      </c>
      <c r="L88" s="130" t="s">
        <v>860</v>
      </c>
      <c r="M88" s="198" t="s">
        <v>861</v>
      </c>
      <c r="N88" s="198" t="s">
        <v>864</v>
      </c>
      <c r="O88" s="198" t="s">
        <v>381</v>
      </c>
      <c r="P88" s="198" t="s">
        <v>381</v>
      </c>
      <c r="Q88" s="198" t="s">
        <v>381</v>
      </c>
      <c r="R88" s="173" t="s">
        <v>1171</v>
      </c>
      <c r="S88" s="173" t="s">
        <v>1171</v>
      </c>
      <c r="T88" s="173" t="s">
        <v>1171</v>
      </c>
      <c r="U88" s="173" t="s">
        <v>1171</v>
      </c>
      <c r="V88" s="173" t="s">
        <v>1171</v>
      </c>
      <c r="W88" s="30" t="b">
        <v>1</v>
      </c>
      <c r="X88" s="188" t="str">
        <f t="shared" si="2"/>
        <v>O-34NOx</v>
      </c>
      <c r="Y88" s="190" t="str">
        <f t="shared" si="3"/>
        <v>$222k - 1.5M/ton NOx</v>
      </c>
    </row>
    <row r="89" spans="1:25" x14ac:dyDescent="0.3">
      <c r="A89" s="51" t="str">
        <f>IF(ISNA(VLOOKUP(B89,Shortlist_xref!$A$5:$B$77,2,FALSE))=TRUE,"-",VLOOKUP(B89,Shortlist_xref!$A$5:$B$77,2,FALSE))</f>
        <v>R-Select</v>
      </c>
      <c r="B89" s="57" t="s">
        <v>183</v>
      </c>
      <c r="C89" s="131" t="s">
        <v>181</v>
      </c>
      <c r="D89" s="138" t="s">
        <v>184</v>
      </c>
      <c r="E89" s="131" t="s">
        <v>53</v>
      </c>
      <c r="F89" s="132">
        <v>0.01</v>
      </c>
      <c r="G89" s="132">
        <v>7.5500000000000012E-2</v>
      </c>
      <c r="H89" s="133" t="s">
        <v>865</v>
      </c>
      <c r="I89" s="134">
        <v>8.5013330242014726E-2</v>
      </c>
      <c r="J89" s="123">
        <v>96.829624672738902</v>
      </c>
      <c r="K89" s="136">
        <v>0</v>
      </c>
      <c r="L89" s="130" t="s">
        <v>860</v>
      </c>
      <c r="M89" s="198" t="s">
        <v>861</v>
      </c>
      <c r="N89" s="198" t="s">
        <v>864</v>
      </c>
      <c r="O89" s="198" t="s">
        <v>381</v>
      </c>
      <c r="P89" s="198" t="s">
        <v>381</v>
      </c>
      <c r="Q89" s="198" t="s">
        <v>381</v>
      </c>
      <c r="R89" s="173" t="s">
        <v>1171</v>
      </c>
      <c r="S89" s="173" t="s">
        <v>1171</v>
      </c>
      <c r="T89" s="173" t="s">
        <v>1171</v>
      </c>
      <c r="U89" s="173" t="s">
        <v>1171</v>
      </c>
      <c r="V89" s="173" t="s">
        <v>1171</v>
      </c>
      <c r="W89" s="30" t="b">
        <v>1</v>
      </c>
      <c r="X89" s="188" t="str">
        <f t="shared" si="2"/>
        <v>O-34VOC</v>
      </c>
      <c r="Y89" s="190" t="str">
        <f t="shared" si="3"/>
        <v>$130k - 1.5M/ton VOC</v>
      </c>
    </row>
    <row r="90" spans="1:25" x14ac:dyDescent="0.3">
      <c r="A90" s="51" t="str">
        <f>IF(ISNA(VLOOKUP(B90,Shortlist_xref!$A$5:$B$77,2,FALSE))=TRUE,"-",VLOOKUP(B90,Shortlist_xref!$A$5:$B$77,2,FALSE))</f>
        <v>R-Select</v>
      </c>
      <c r="B90" s="57" t="s">
        <v>185</v>
      </c>
      <c r="C90" s="131" t="s">
        <v>181</v>
      </c>
      <c r="D90" s="138" t="s">
        <v>186</v>
      </c>
      <c r="E90" s="131" t="s">
        <v>12</v>
      </c>
      <c r="F90" s="132">
        <v>0.01</v>
      </c>
      <c r="G90" s="132">
        <v>0.1575</v>
      </c>
      <c r="H90" s="133" t="s">
        <v>37</v>
      </c>
      <c r="I90" s="134">
        <v>9.7099050388806174E-2</v>
      </c>
      <c r="J90" s="123">
        <v>163.98253134757027</v>
      </c>
      <c r="K90" s="136">
        <v>0</v>
      </c>
      <c r="L90" s="130" t="s">
        <v>860</v>
      </c>
      <c r="M90" s="198" t="s">
        <v>861</v>
      </c>
      <c r="N90" s="198" t="s">
        <v>381</v>
      </c>
      <c r="O90" s="198" t="s">
        <v>381</v>
      </c>
      <c r="P90" s="198" t="s">
        <v>381</v>
      </c>
      <c r="Q90" s="198" t="s">
        <v>381</v>
      </c>
      <c r="R90" s="173" t="s">
        <v>1171</v>
      </c>
      <c r="S90" s="173" t="s">
        <v>1171</v>
      </c>
      <c r="T90" s="173" t="s">
        <v>1171</v>
      </c>
      <c r="U90" s="173" t="s">
        <v>1171</v>
      </c>
      <c r="V90" s="173" t="s">
        <v>1171</v>
      </c>
      <c r="W90" s="30" t="b">
        <v>1</v>
      </c>
      <c r="X90" s="188" t="str">
        <f t="shared" si="2"/>
        <v>O-35NOx</v>
      </c>
      <c r="Y90" s="190" t="str">
        <f t="shared" si="3"/>
        <v>NA</v>
      </c>
    </row>
    <row r="91" spans="1:25" x14ac:dyDescent="0.3">
      <c r="A91" s="51" t="str">
        <f>IF(ISNA(VLOOKUP(B91,Shortlist_xref!$A$5:$B$77,2,FALSE))=TRUE,"-",VLOOKUP(B91,Shortlist_xref!$A$5:$B$77,2,FALSE))</f>
        <v>R-Select</v>
      </c>
      <c r="B91" s="57" t="s">
        <v>185</v>
      </c>
      <c r="C91" s="131" t="s">
        <v>181</v>
      </c>
      <c r="D91" s="138" t="s">
        <v>186</v>
      </c>
      <c r="E91" s="131" t="s">
        <v>53</v>
      </c>
      <c r="F91" s="132">
        <v>0.01</v>
      </c>
      <c r="G91" s="132">
        <v>9.4499999999999987E-2</v>
      </c>
      <c r="H91" s="133" t="s">
        <v>37</v>
      </c>
      <c r="I91" s="134">
        <v>8.5013330242014726E-2</v>
      </c>
      <c r="J91" s="123">
        <v>121.19734478905725</v>
      </c>
      <c r="K91" s="136">
        <v>0</v>
      </c>
      <c r="L91" s="130" t="s">
        <v>860</v>
      </c>
      <c r="M91" s="198" t="s">
        <v>861</v>
      </c>
      <c r="N91" s="198" t="s">
        <v>381</v>
      </c>
      <c r="O91" s="198" t="s">
        <v>381</v>
      </c>
      <c r="P91" s="198" t="s">
        <v>381</v>
      </c>
      <c r="Q91" s="198" t="s">
        <v>381</v>
      </c>
      <c r="R91" s="173" t="s">
        <v>1171</v>
      </c>
      <c r="S91" s="173" t="s">
        <v>1171</v>
      </c>
      <c r="T91" s="173" t="s">
        <v>1171</v>
      </c>
      <c r="U91" s="173" t="s">
        <v>1171</v>
      </c>
      <c r="V91" s="173" t="s">
        <v>1171</v>
      </c>
      <c r="W91" s="30" t="b">
        <v>1</v>
      </c>
      <c r="X91" s="188" t="str">
        <f t="shared" si="2"/>
        <v>O-35VOC</v>
      </c>
      <c r="Y91" s="190" t="str">
        <f t="shared" si="3"/>
        <v>NA</v>
      </c>
    </row>
    <row r="92" spans="1:25" ht="24.2" x14ac:dyDescent="0.3">
      <c r="A92" s="51" t="str">
        <f>IF(ISNA(VLOOKUP(B92,Shortlist_xref!$A$5:$B$77,2,FALSE))=TRUE,"-",VLOOKUP(B92,Shortlist_xref!$A$5:$B$77,2,FALSE))</f>
        <v>R-Select</v>
      </c>
      <c r="B92" s="57" t="s">
        <v>187</v>
      </c>
      <c r="C92" s="131" t="s">
        <v>181</v>
      </c>
      <c r="D92" s="138" t="s">
        <v>188</v>
      </c>
      <c r="E92" s="131" t="s">
        <v>12</v>
      </c>
      <c r="F92" s="132">
        <v>0.01</v>
      </c>
      <c r="G92" s="132">
        <v>0.19500000000000001</v>
      </c>
      <c r="H92" s="133" t="s">
        <v>37</v>
      </c>
      <c r="I92" s="134">
        <v>9.7099050388806174E-2</v>
      </c>
      <c r="J92" s="123">
        <v>203.0259911922299</v>
      </c>
      <c r="K92" s="136">
        <v>0</v>
      </c>
      <c r="L92" s="130" t="s">
        <v>860</v>
      </c>
      <c r="M92" s="198" t="s">
        <v>861</v>
      </c>
      <c r="N92" s="198" t="s">
        <v>381</v>
      </c>
      <c r="O92" s="198" t="s">
        <v>381</v>
      </c>
      <c r="P92" s="198" t="s">
        <v>381</v>
      </c>
      <c r="Q92" s="198" t="s">
        <v>381</v>
      </c>
      <c r="R92" s="173" t="s">
        <v>1171</v>
      </c>
      <c r="S92" s="173" t="s">
        <v>1171</v>
      </c>
      <c r="T92" s="173" t="s">
        <v>1171</v>
      </c>
      <c r="U92" s="173" t="s">
        <v>1171</v>
      </c>
      <c r="V92" s="173" t="s">
        <v>1171</v>
      </c>
      <c r="W92" s="30" t="b">
        <v>1</v>
      </c>
      <c r="X92" s="188" t="str">
        <f t="shared" si="2"/>
        <v>O-36NOx</v>
      </c>
      <c r="Y92" s="190" t="str">
        <f t="shared" si="3"/>
        <v>NA</v>
      </c>
    </row>
    <row r="93" spans="1:25" ht="24.2" x14ac:dyDescent="0.3">
      <c r="A93" s="51" t="str">
        <f>IF(ISNA(VLOOKUP(B93,Shortlist_xref!$A$5:$B$77,2,FALSE))=TRUE,"-",VLOOKUP(B93,Shortlist_xref!$A$5:$B$77,2,FALSE))</f>
        <v>R-Select</v>
      </c>
      <c r="B93" s="57" t="s">
        <v>187</v>
      </c>
      <c r="C93" s="131" t="s">
        <v>181</v>
      </c>
      <c r="D93" s="138" t="s">
        <v>188</v>
      </c>
      <c r="E93" s="131" t="s">
        <v>53</v>
      </c>
      <c r="F93" s="132">
        <v>0.01</v>
      </c>
      <c r="G93" s="132">
        <v>0.11699999999999999</v>
      </c>
      <c r="H93" s="133" t="s">
        <v>37</v>
      </c>
      <c r="I93" s="134">
        <v>8.5013330242014726E-2</v>
      </c>
      <c r="J93" s="123">
        <v>150.05385545311853</v>
      </c>
      <c r="K93" s="136">
        <v>0</v>
      </c>
      <c r="L93" s="130" t="s">
        <v>860</v>
      </c>
      <c r="M93" s="198" t="s">
        <v>861</v>
      </c>
      <c r="N93" s="198" t="s">
        <v>381</v>
      </c>
      <c r="O93" s="198" t="s">
        <v>381</v>
      </c>
      <c r="P93" s="198" t="s">
        <v>381</v>
      </c>
      <c r="Q93" s="198" t="s">
        <v>381</v>
      </c>
      <c r="R93" s="173" t="s">
        <v>1171</v>
      </c>
      <c r="S93" s="173" t="s">
        <v>1171</v>
      </c>
      <c r="T93" s="173" t="s">
        <v>1171</v>
      </c>
      <c r="U93" s="173" t="s">
        <v>1171</v>
      </c>
      <c r="V93" s="173" t="s">
        <v>1171</v>
      </c>
      <c r="W93" s="30" t="b">
        <v>1</v>
      </c>
      <c r="X93" s="188" t="str">
        <f t="shared" si="2"/>
        <v>O-36VOC</v>
      </c>
      <c r="Y93" s="190" t="str">
        <f t="shared" si="3"/>
        <v>NA</v>
      </c>
    </row>
    <row r="94" spans="1:25" x14ac:dyDescent="0.3">
      <c r="A94" s="51" t="str">
        <f>IF(ISNA(VLOOKUP(B94,Shortlist_xref!$A$5:$B$77,2,FALSE))=TRUE,"-",VLOOKUP(B94,Shortlist_xref!$A$5:$B$77,2,FALSE))</f>
        <v>-</v>
      </c>
      <c r="B94" s="57" t="s">
        <v>866</v>
      </c>
      <c r="C94" s="131" t="s">
        <v>181</v>
      </c>
      <c r="D94" s="138" t="s">
        <v>867</v>
      </c>
      <c r="E94" s="131" t="s">
        <v>12</v>
      </c>
      <c r="F94" s="132">
        <v>0.01</v>
      </c>
      <c r="G94" s="132">
        <v>8.7499999999999994E-2</v>
      </c>
      <c r="H94" s="133" t="s">
        <v>868</v>
      </c>
      <c r="I94" s="134">
        <v>9.7099050388806174E-2</v>
      </c>
      <c r="J94" s="123">
        <v>91.10140630420571</v>
      </c>
      <c r="K94" s="136">
        <v>0</v>
      </c>
      <c r="L94" s="130" t="s">
        <v>860</v>
      </c>
      <c r="M94" s="198" t="s">
        <v>861</v>
      </c>
      <c r="N94" s="198" t="s">
        <v>864</v>
      </c>
      <c r="O94" s="198" t="s">
        <v>381</v>
      </c>
      <c r="P94" s="198" t="s">
        <v>381</v>
      </c>
      <c r="Q94" s="198" t="s">
        <v>381</v>
      </c>
      <c r="R94" s="173" t="s">
        <v>1171</v>
      </c>
      <c r="S94" s="173" t="s">
        <v>1171</v>
      </c>
      <c r="T94" s="173" t="s">
        <v>1171</v>
      </c>
      <c r="U94" s="173" t="s">
        <v>1171</v>
      </c>
      <c r="V94" s="173" t="s">
        <v>1171</v>
      </c>
      <c r="W94" s="30" t="b">
        <v>1</v>
      </c>
      <c r="X94" s="188" t="str">
        <f t="shared" si="2"/>
        <v>O-37NOx</v>
      </c>
      <c r="Y94" s="190" t="str">
        <f t="shared" si="3"/>
        <v>$12k-4.9M /ton NOx</v>
      </c>
    </row>
    <row r="95" spans="1:25" x14ac:dyDescent="0.3">
      <c r="A95" s="51" t="str">
        <f>IF(ISNA(VLOOKUP(B95,Shortlist_xref!$A$5:$B$77,2,FALSE))=TRUE,"-",VLOOKUP(B95,Shortlist_xref!$A$5:$B$77,2,FALSE))</f>
        <v>-</v>
      </c>
      <c r="B95" s="57" t="s">
        <v>866</v>
      </c>
      <c r="C95" s="131" t="s">
        <v>181</v>
      </c>
      <c r="D95" s="138" t="s">
        <v>867</v>
      </c>
      <c r="E95" s="131" t="s">
        <v>53</v>
      </c>
      <c r="F95" s="132">
        <v>0.01</v>
      </c>
      <c r="G95" s="132">
        <v>5.2499999999999998E-2</v>
      </c>
      <c r="H95" s="133" t="s">
        <v>869</v>
      </c>
      <c r="I95" s="134">
        <v>8.5013330242014726E-2</v>
      </c>
      <c r="J95" s="123">
        <v>67.331858216142933</v>
      </c>
      <c r="K95" s="136">
        <v>0</v>
      </c>
      <c r="L95" s="130" t="s">
        <v>860</v>
      </c>
      <c r="M95" s="198" t="s">
        <v>861</v>
      </c>
      <c r="N95" s="198" t="s">
        <v>864</v>
      </c>
      <c r="O95" s="198" t="s">
        <v>381</v>
      </c>
      <c r="P95" s="198" t="s">
        <v>381</v>
      </c>
      <c r="Q95" s="198" t="s">
        <v>381</v>
      </c>
      <c r="R95" s="173" t="s">
        <v>1171</v>
      </c>
      <c r="S95" s="173" t="s">
        <v>1171</v>
      </c>
      <c r="T95" s="173" t="s">
        <v>1171</v>
      </c>
      <c r="U95" s="173" t="s">
        <v>1171</v>
      </c>
      <c r="V95" s="173" t="s">
        <v>1171</v>
      </c>
      <c r="W95" s="30" t="b">
        <v>1</v>
      </c>
      <c r="X95" s="188" t="str">
        <f t="shared" si="2"/>
        <v>O-37VOC</v>
      </c>
      <c r="Y95" s="190" t="str">
        <f t="shared" si="3"/>
        <v>$14k-8.5M/ton VOC</v>
      </c>
    </row>
    <row r="96" spans="1:25" ht="54.75" x14ac:dyDescent="0.3">
      <c r="A96" s="51" t="str">
        <f>IF(ISNA(VLOOKUP(B96,Shortlist_xref!$A$5:$B$77,2,FALSE))=TRUE,"-",VLOOKUP(B96,Shortlist_xref!$A$5:$B$77,2,FALSE))</f>
        <v>-</v>
      </c>
      <c r="B96" s="57" t="s">
        <v>870</v>
      </c>
      <c r="C96" s="131" t="s">
        <v>181</v>
      </c>
      <c r="D96" s="138" t="s">
        <v>871</v>
      </c>
      <c r="E96" s="131" t="s">
        <v>12</v>
      </c>
      <c r="F96" s="132">
        <v>0.01</v>
      </c>
      <c r="G96" s="132">
        <v>3.6000000000000004E-2</v>
      </c>
      <c r="H96" s="133" t="s">
        <v>37</v>
      </c>
      <c r="I96" s="134">
        <v>9.7099050388806174E-2</v>
      </c>
      <c r="J96" s="123">
        <v>37.481721450873209</v>
      </c>
      <c r="K96" s="136">
        <v>0</v>
      </c>
      <c r="L96" s="130" t="s">
        <v>872</v>
      </c>
      <c r="M96" s="198" t="s">
        <v>861</v>
      </c>
      <c r="N96" s="198" t="s">
        <v>873</v>
      </c>
      <c r="O96" s="198" t="s">
        <v>874</v>
      </c>
      <c r="P96" s="198" t="s">
        <v>381</v>
      </c>
      <c r="Q96" s="198" t="s">
        <v>381</v>
      </c>
      <c r="R96" s="173" t="s">
        <v>1171</v>
      </c>
      <c r="S96" s="173" t="s">
        <v>1171</v>
      </c>
      <c r="T96" s="173" t="s">
        <v>1171</v>
      </c>
      <c r="U96" s="173" t="s">
        <v>1171</v>
      </c>
      <c r="V96" s="173" t="s">
        <v>1171</v>
      </c>
      <c r="W96" s="30" t="b">
        <v>1</v>
      </c>
      <c r="X96" s="188" t="str">
        <f t="shared" si="2"/>
        <v>O-38NOx</v>
      </c>
      <c r="Y96" s="190" t="str">
        <f t="shared" si="3"/>
        <v>NA</v>
      </c>
    </row>
    <row r="97" spans="1:25" ht="54.75" x14ac:dyDescent="0.3">
      <c r="A97" s="51" t="str">
        <f>IF(ISNA(VLOOKUP(B97,Shortlist_xref!$A$5:$B$77,2,FALSE))=TRUE,"-",VLOOKUP(B97,Shortlist_xref!$A$5:$B$77,2,FALSE))</f>
        <v>-</v>
      </c>
      <c r="B97" s="57" t="s">
        <v>870</v>
      </c>
      <c r="C97" s="131" t="s">
        <v>181</v>
      </c>
      <c r="D97" s="138" t="s">
        <v>871</v>
      </c>
      <c r="E97" s="131" t="s">
        <v>53</v>
      </c>
      <c r="F97" s="132">
        <v>0.01</v>
      </c>
      <c r="G97" s="132">
        <v>2.1499999999999998E-2</v>
      </c>
      <c r="H97" s="133" t="s">
        <v>875</v>
      </c>
      <c r="I97" s="134">
        <v>8.5013330242014726E-2</v>
      </c>
      <c r="J97" s="123">
        <v>27.573999078991864</v>
      </c>
      <c r="K97" s="136">
        <v>0</v>
      </c>
      <c r="L97" s="130" t="s">
        <v>872</v>
      </c>
      <c r="M97" s="198" t="s">
        <v>861</v>
      </c>
      <c r="N97" s="198" t="s">
        <v>873</v>
      </c>
      <c r="O97" s="198" t="s">
        <v>874</v>
      </c>
      <c r="P97" s="198" t="s">
        <v>381</v>
      </c>
      <c r="Q97" s="198" t="s">
        <v>381</v>
      </c>
      <c r="R97" s="173" t="s">
        <v>1171</v>
      </c>
      <c r="S97" s="173" t="s">
        <v>1171</v>
      </c>
      <c r="T97" s="173" t="s">
        <v>1171</v>
      </c>
      <c r="U97" s="173" t="s">
        <v>1171</v>
      </c>
      <c r="V97" s="173" t="s">
        <v>1171</v>
      </c>
      <c r="W97" s="30" t="b">
        <v>1</v>
      </c>
      <c r="X97" s="188" t="str">
        <f t="shared" si="2"/>
        <v>O-38VOC</v>
      </c>
      <c r="Y97" s="190" t="str">
        <f t="shared" si="3"/>
        <v>$5,800-176,000/ton VOC</v>
      </c>
    </row>
    <row r="98" spans="1:25" ht="26.5" x14ac:dyDescent="0.3">
      <c r="A98" s="51" t="str">
        <f>IF(ISNA(VLOOKUP(B98,Shortlist_xref!$A$5:$B$77,2,FALSE))=TRUE,"-",VLOOKUP(B98,Shortlist_xref!$A$5:$B$77,2,FALSE))</f>
        <v>R-Select</v>
      </c>
      <c r="B98" s="57" t="s">
        <v>189</v>
      </c>
      <c r="C98" s="131" t="s">
        <v>181</v>
      </c>
      <c r="D98" s="138" t="s">
        <v>208</v>
      </c>
      <c r="E98" s="131" t="s">
        <v>12</v>
      </c>
      <c r="F98" s="132">
        <v>0.01</v>
      </c>
      <c r="G98" s="132">
        <v>0.126</v>
      </c>
      <c r="H98" s="133" t="s">
        <v>876</v>
      </c>
      <c r="I98" s="134">
        <v>9.7099050388806174E-2</v>
      </c>
      <c r="J98" s="123">
        <v>131.18602507805622</v>
      </c>
      <c r="K98" s="136" t="s">
        <v>877</v>
      </c>
      <c r="L98" s="130" t="s">
        <v>878</v>
      </c>
      <c r="M98" s="198" t="s">
        <v>861</v>
      </c>
      <c r="N98" s="198" t="s">
        <v>751</v>
      </c>
      <c r="O98" s="198" t="s">
        <v>381</v>
      </c>
      <c r="P98" s="198" t="s">
        <v>381</v>
      </c>
      <c r="Q98" s="198" t="s">
        <v>381</v>
      </c>
      <c r="R98" s="173" t="s">
        <v>1171</v>
      </c>
      <c r="S98" s="173" t="s">
        <v>1171</v>
      </c>
      <c r="T98" s="173" t="s">
        <v>1172</v>
      </c>
      <c r="U98" s="173" t="s">
        <v>1171</v>
      </c>
      <c r="V98" s="173" t="s">
        <v>1171</v>
      </c>
      <c r="W98" s="30" t="b">
        <v>1</v>
      </c>
      <c r="X98" s="188" t="str">
        <f t="shared" si="2"/>
        <v>O-39NOx</v>
      </c>
      <c r="Y98" s="190" t="str">
        <f t="shared" si="3"/>
        <v>$32,000 per ton of NOx and VOC</v>
      </c>
    </row>
    <row r="99" spans="1:25" ht="24.2" x14ac:dyDescent="0.3">
      <c r="A99" s="51" t="str">
        <f>IF(ISNA(VLOOKUP(B99,Shortlist_xref!$A$5:$B$77,2,FALSE))=TRUE,"-",VLOOKUP(B99,Shortlist_xref!$A$5:$B$77,2,FALSE))</f>
        <v>R-Select</v>
      </c>
      <c r="B99" s="57" t="s">
        <v>189</v>
      </c>
      <c r="C99" s="131" t="s">
        <v>181</v>
      </c>
      <c r="D99" s="138" t="s">
        <v>208</v>
      </c>
      <c r="E99" s="131" t="s">
        <v>53</v>
      </c>
      <c r="F99" s="132">
        <v>0.01</v>
      </c>
      <c r="G99" s="132">
        <v>7.5499999999999998E-2</v>
      </c>
      <c r="H99" s="133" t="s">
        <v>875</v>
      </c>
      <c r="I99" s="134">
        <v>8.5013330242014726E-2</v>
      </c>
      <c r="J99" s="123">
        <v>96.829624672738873</v>
      </c>
      <c r="K99" s="136">
        <v>0</v>
      </c>
      <c r="L99" s="130" t="s">
        <v>878</v>
      </c>
      <c r="M99" s="198" t="s">
        <v>861</v>
      </c>
      <c r="N99" s="198" t="s">
        <v>381</v>
      </c>
      <c r="O99" s="198" t="s">
        <v>381</v>
      </c>
      <c r="P99" s="198" t="s">
        <v>381</v>
      </c>
      <c r="Q99" s="198" t="s">
        <v>381</v>
      </c>
      <c r="R99" s="173" t="s">
        <v>1171</v>
      </c>
      <c r="S99" s="173" t="s">
        <v>1171</v>
      </c>
      <c r="T99" s="173" t="s">
        <v>1171</v>
      </c>
      <c r="U99" s="173" t="s">
        <v>1171</v>
      </c>
      <c r="V99" s="173" t="s">
        <v>1171</v>
      </c>
      <c r="W99" s="30" t="b">
        <v>1</v>
      </c>
      <c r="X99" s="188" t="str">
        <f t="shared" si="2"/>
        <v>O-39VOC</v>
      </c>
      <c r="Y99" s="190" t="str">
        <f t="shared" si="3"/>
        <v>$5,800-176,000/ton VOC</v>
      </c>
    </row>
    <row r="100" spans="1:25" ht="32.85" x14ac:dyDescent="0.3">
      <c r="A100" s="51" t="str">
        <f>IF(ISNA(VLOOKUP(B100,Shortlist_xref!$A$5:$B$77,2,FALSE))=TRUE,"-",VLOOKUP(B100,Shortlist_xref!$A$5:$B$77,2,FALSE))</f>
        <v>EmissRed</v>
      </c>
      <c r="B100" s="57" t="s">
        <v>190</v>
      </c>
      <c r="C100" s="131" t="s">
        <v>191</v>
      </c>
      <c r="D100" s="138" t="s">
        <v>192</v>
      </c>
      <c r="E100" s="131" t="s">
        <v>12</v>
      </c>
      <c r="F100" s="132">
        <v>0.1</v>
      </c>
      <c r="G100" s="132">
        <v>0.5</v>
      </c>
      <c r="H100" s="133" t="s">
        <v>37</v>
      </c>
      <c r="I100" s="134">
        <v>7.4572282514097213E-2</v>
      </c>
      <c r="J100" s="123">
        <v>3998.0616442079613</v>
      </c>
      <c r="K100" s="136" t="s">
        <v>879</v>
      </c>
      <c r="L100" s="130" t="s">
        <v>880</v>
      </c>
      <c r="M100" s="198" t="s">
        <v>881</v>
      </c>
      <c r="N100" s="198" t="s">
        <v>381</v>
      </c>
      <c r="O100" s="198" t="s">
        <v>381</v>
      </c>
      <c r="P100" s="198" t="s">
        <v>381</v>
      </c>
      <c r="Q100" s="198" t="s">
        <v>381</v>
      </c>
      <c r="R100" s="173" t="s">
        <v>1171</v>
      </c>
      <c r="S100" s="173" t="s">
        <v>1171</v>
      </c>
      <c r="T100" s="173" t="s">
        <v>1171</v>
      </c>
      <c r="U100" s="173" t="s">
        <v>1171</v>
      </c>
      <c r="V100" s="173" t="s">
        <v>1171</v>
      </c>
      <c r="W100" s="30" t="b">
        <v>1</v>
      </c>
      <c r="X100" s="188" t="str">
        <f t="shared" si="2"/>
        <v>O-40NOx</v>
      </c>
      <c r="Y100" s="190" t="str">
        <f t="shared" si="3"/>
        <v>NA</v>
      </c>
    </row>
    <row r="101" spans="1:25" ht="32.85" x14ac:dyDescent="0.3">
      <c r="A101" s="51" t="str">
        <f>IF(ISNA(VLOOKUP(B101,Shortlist_xref!$A$5:$B$77,2,FALSE))=TRUE,"-",VLOOKUP(B101,Shortlist_xref!$A$5:$B$77,2,FALSE))</f>
        <v>EmissRed</v>
      </c>
      <c r="B101" s="57" t="s">
        <v>190</v>
      </c>
      <c r="C101" s="131" t="s">
        <v>191</v>
      </c>
      <c r="D101" s="138" t="s">
        <v>192</v>
      </c>
      <c r="E101" s="131" t="s">
        <v>53</v>
      </c>
      <c r="F101" s="132">
        <v>0.1</v>
      </c>
      <c r="G101" s="132">
        <v>0.5</v>
      </c>
      <c r="H101" s="133" t="s">
        <v>37</v>
      </c>
      <c r="I101" s="134">
        <v>6.7535554513757125E-3</v>
      </c>
      <c r="J101" s="123">
        <v>509.42088035725749</v>
      </c>
      <c r="K101" s="136" t="s">
        <v>879</v>
      </c>
      <c r="L101" s="130" t="s">
        <v>880</v>
      </c>
      <c r="M101" s="198" t="s">
        <v>881</v>
      </c>
      <c r="N101" s="198" t="s">
        <v>381</v>
      </c>
      <c r="O101" s="198" t="s">
        <v>381</v>
      </c>
      <c r="P101" s="198" t="s">
        <v>381</v>
      </c>
      <c r="Q101" s="198" t="s">
        <v>381</v>
      </c>
      <c r="R101" s="173" t="s">
        <v>1171</v>
      </c>
      <c r="S101" s="173" t="s">
        <v>1171</v>
      </c>
      <c r="T101" s="173" t="s">
        <v>1171</v>
      </c>
      <c r="U101" s="173" t="s">
        <v>1171</v>
      </c>
      <c r="V101" s="173" t="s">
        <v>1171</v>
      </c>
      <c r="W101" s="30" t="b">
        <v>1</v>
      </c>
      <c r="X101" s="188" t="str">
        <f t="shared" si="2"/>
        <v>O-40VOC</v>
      </c>
      <c r="Y101" s="190" t="str">
        <f t="shared" si="3"/>
        <v>NA</v>
      </c>
    </row>
    <row r="102" spans="1:25" ht="26.5" x14ac:dyDescent="0.3">
      <c r="A102" s="51" t="str">
        <f>IF(ISNA(VLOOKUP(B102,Shortlist_xref!$A$5:$B$77,2,FALSE))=TRUE,"-",VLOOKUP(B102,Shortlist_xref!$A$5:$B$77,2,FALSE))</f>
        <v>CE</v>
      </c>
      <c r="B102" s="57" t="s">
        <v>193</v>
      </c>
      <c r="C102" s="131" t="s">
        <v>194</v>
      </c>
      <c r="D102" s="138" t="s">
        <v>195</v>
      </c>
      <c r="E102" s="131" t="s">
        <v>12</v>
      </c>
      <c r="F102" s="132">
        <v>0.02</v>
      </c>
      <c r="G102" s="132">
        <v>0.8</v>
      </c>
      <c r="H102" s="133" t="s">
        <v>882</v>
      </c>
      <c r="I102" s="134">
        <v>8.1254675933272277E-2</v>
      </c>
      <c r="J102" s="123">
        <v>1394.0244490167577</v>
      </c>
      <c r="K102" s="136" t="s">
        <v>883</v>
      </c>
      <c r="L102" s="130" t="s">
        <v>884</v>
      </c>
      <c r="M102" s="198" t="s">
        <v>885</v>
      </c>
      <c r="N102" s="198" t="s">
        <v>886</v>
      </c>
      <c r="O102" s="198" t="s">
        <v>887</v>
      </c>
      <c r="P102" s="198" t="s">
        <v>381</v>
      </c>
      <c r="Q102" s="198" t="s">
        <v>381</v>
      </c>
      <c r="R102" s="173" t="s">
        <v>1172</v>
      </c>
      <c r="S102" s="173" t="s">
        <v>1172</v>
      </c>
      <c r="T102" s="173" t="s">
        <v>1171</v>
      </c>
      <c r="U102" s="173" t="s">
        <v>1171</v>
      </c>
      <c r="V102" s="173" t="s">
        <v>1172</v>
      </c>
      <c r="W102" s="30" t="b">
        <v>1</v>
      </c>
      <c r="X102" s="188" t="str">
        <f t="shared" si="2"/>
        <v>O-41NOx</v>
      </c>
      <c r="Y102" s="190" t="str">
        <f t="shared" si="3"/>
        <v>$2,900 - 4,600/ton NOx</v>
      </c>
    </row>
    <row r="103" spans="1:25" x14ac:dyDescent="0.3">
      <c r="A103" s="51" t="str">
        <f>IF(ISNA(VLOOKUP(B103,Shortlist_xref!$A$5:$B$77,2,FALSE))=TRUE,"-",VLOOKUP(B103,Shortlist_xref!$A$5:$B$77,2,FALSE))</f>
        <v>CE</v>
      </c>
      <c r="B103" s="57" t="s">
        <v>193</v>
      </c>
      <c r="C103" s="131" t="s">
        <v>194</v>
      </c>
      <c r="D103" s="138" t="s">
        <v>195</v>
      </c>
      <c r="E103" s="131" t="s">
        <v>53</v>
      </c>
      <c r="F103" s="132" t="s">
        <v>37</v>
      </c>
      <c r="G103" s="132" t="s">
        <v>37</v>
      </c>
      <c r="H103" s="133" t="s">
        <v>37</v>
      </c>
      <c r="I103" s="134">
        <v>1.130837234666982E-2</v>
      </c>
      <c r="J103" s="123" t="s">
        <v>37</v>
      </c>
      <c r="K103" s="136">
        <v>0</v>
      </c>
      <c r="L103" s="130" t="s">
        <v>884</v>
      </c>
      <c r="M103" s="198" t="s">
        <v>885</v>
      </c>
      <c r="N103" s="198" t="s">
        <v>886</v>
      </c>
      <c r="O103" s="198" t="s">
        <v>887</v>
      </c>
      <c r="P103" s="198" t="s">
        <v>381</v>
      </c>
      <c r="Q103" s="198" t="s">
        <v>381</v>
      </c>
      <c r="R103" s="173" t="s">
        <v>1171</v>
      </c>
      <c r="S103" s="173" t="s">
        <v>1171</v>
      </c>
      <c r="T103" s="173" t="s">
        <v>1171</v>
      </c>
      <c r="U103" s="173" t="s">
        <v>1171</v>
      </c>
      <c r="V103" s="173" t="s">
        <v>1171</v>
      </c>
      <c r="W103" s="30" t="b">
        <v>1</v>
      </c>
      <c r="X103" s="188" t="str">
        <f t="shared" si="2"/>
        <v>O-41VOC</v>
      </c>
      <c r="Y103" s="190" t="str">
        <f t="shared" si="3"/>
        <v>NA</v>
      </c>
    </row>
    <row r="104" spans="1:25" ht="26.5" x14ac:dyDescent="0.3">
      <c r="A104" s="51" t="str">
        <f>IF(ISNA(VLOOKUP(B104,Shortlist_xref!$A$5:$B$77,2,FALSE))=TRUE,"-",VLOOKUP(B104,Shortlist_xref!$A$5:$B$77,2,FALSE))</f>
        <v>CE</v>
      </c>
      <c r="B104" s="57" t="s">
        <v>209</v>
      </c>
      <c r="C104" s="131" t="s">
        <v>210</v>
      </c>
      <c r="D104" s="138" t="s">
        <v>211</v>
      </c>
      <c r="E104" s="131" t="s">
        <v>12</v>
      </c>
      <c r="F104" s="132">
        <v>0.02</v>
      </c>
      <c r="G104" s="132">
        <v>0.8</v>
      </c>
      <c r="H104" s="133" t="s">
        <v>882</v>
      </c>
      <c r="I104" s="134">
        <v>7.4572282514097213E-2</v>
      </c>
      <c r="J104" s="123">
        <v>1279.3797261465477</v>
      </c>
      <c r="K104" s="136" t="s">
        <v>883</v>
      </c>
      <c r="L104" s="130" t="s">
        <v>888</v>
      </c>
      <c r="M104" s="198" t="s">
        <v>889</v>
      </c>
      <c r="N104" s="198" t="s">
        <v>864</v>
      </c>
      <c r="O104" s="198" t="s">
        <v>890</v>
      </c>
      <c r="P104" s="198" t="s">
        <v>381</v>
      </c>
      <c r="Q104" s="198" t="s">
        <v>381</v>
      </c>
      <c r="R104" s="173" t="s">
        <v>1172</v>
      </c>
      <c r="S104" s="173" t="s">
        <v>1172</v>
      </c>
      <c r="T104" s="173" t="s">
        <v>1171</v>
      </c>
      <c r="U104" s="173" t="s">
        <v>1171</v>
      </c>
      <c r="V104" s="173" t="s">
        <v>1172</v>
      </c>
      <c r="W104" s="30" t="b">
        <v>1</v>
      </c>
      <c r="X104" s="188" t="str">
        <f t="shared" si="2"/>
        <v>O-42NOx</v>
      </c>
      <c r="Y104" s="190" t="str">
        <f t="shared" si="3"/>
        <v>$2,900 - 4,600/ton NOx</v>
      </c>
    </row>
    <row r="105" spans="1:25" x14ac:dyDescent="0.3">
      <c r="A105" s="51" t="str">
        <f>IF(ISNA(VLOOKUP(B105,Shortlist_xref!$A$5:$B$77,2,FALSE))=TRUE,"-",VLOOKUP(B105,Shortlist_xref!$A$5:$B$77,2,FALSE))</f>
        <v>CE</v>
      </c>
      <c r="B105" s="57" t="s">
        <v>209</v>
      </c>
      <c r="C105" s="131" t="s">
        <v>210</v>
      </c>
      <c r="D105" s="138" t="s">
        <v>211</v>
      </c>
      <c r="E105" s="131" t="s">
        <v>53</v>
      </c>
      <c r="F105" s="132" t="s">
        <v>37</v>
      </c>
      <c r="G105" s="132" t="s">
        <v>37</v>
      </c>
      <c r="H105" s="133" t="s">
        <v>37</v>
      </c>
      <c r="I105" s="134">
        <v>6.7535554513757125E-3</v>
      </c>
      <c r="J105" s="123" t="s">
        <v>37</v>
      </c>
      <c r="K105" s="136">
        <v>0</v>
      </c>
      <c r="L105" s="130" t="s">
        <v>888</v>
      </c>
      <c r="M105" s="198" t="s">
        <v>889</v>
      </c>
      <c r="N105" s="198" t="s">
        <v>864</v>
      </c>
      <c r="O105" s="198" t="s">
        <v>890</v>
      </c>
      <c r="P105" s="198" t="s">
        <v>381</v>
      </c>
      <c r="Q105" s="198" t="s">
        <v>381</v>
      </c>
      <c r="R105" s="173" t="s">
        <v>1171</v>
      </c>
      <c r="S105" s="173" t="s">
        <v>1171</v>
      </c>
      <c r="T105" s="173" t="s">
        <v>1171</v>
      </c>
      <c r="U105" s="173" t="s">
        <v>1171</v>
      </c>
      <c r="V105" s="173" t="s">
        <v>1171</v>
      </c>
      <c r="W105" s="30" t="b">
        <v>1</v>
      </c>
      <c r="X105" s="188" t="str">
        <f t="shared" si="2"/>
        <v>O-42VOC</v>
      </c>
      <c r="Y105" s="190" t="str">
        <f t="shared" si="3"/>
        <v>NA</v>
      </c>
    </row>
    <row r="106" spans="1:25" x14ac:dyDescent="0.3">
      <c r="A106" s="51" t="str">
        <f>IF(ISNA(VLOOKUP(B106,Shortlist_xref!$A$5:$B$77,2,FALSE))=TRUE,"-",VLOOKUP(B106,Shortlist_xref!$A$5:$B$77,2,FALSE))</f>
        <v>-</v>
      </c>
      <c r="B106" s="57" t="s">
        <v>891</v>
      </c>
      <c r="C106" s="131" t="s">
        <v>181</v>
      </c>
      <c r="D106" s="138" t="s">
        <v>892</v>
      </c>
      <c r="E106" s="131" t="s">
        <v>893</v>
      </c>
      <c r="F106" s="132">
        <v>0.01</v>
      </c>
      <c r="G106" s="132">
        <v>1</v>
      </c>
      <c r="H106" s="134" t="s">
        <v>894</v>
      </c>
      <c r="I106" s="134">
        <v>9.7099050388806174E-2</v>
      </c>
      <c r="J106" s="123">
        <v>1041.1589291909224</v>
      </c>
      <c r="K106" s="128" t="s">
        <v>895</v>
      </c>
      <c r="L106" s="130" t="s">
        <v>896</v>
      </c>
      <c r="M106" s="198" t="s">
        <v>897</v>
      </c>
      <c r="N106" s="198" t="s">
        <v>864</v>
      </c>
      <c r="O106" s="198" t="s">
        <v>381</v>
      </c>
      <c r="P106" s="198" t="s">
        <v>381</v>
      </c>
      <c r="Q106" s="198" t="s">
        <v>381</v>
      </c>
      <c r="R106" s="173" t="s">
        <v>1172</v>
      </c>
      <c r="S106" s="173" t="s">
        <v>1172</v>
      </c>
      <c r="T106" s="173" t="s">
        <v>1171</v>
      </c>
      <c r="U106" s="173" t="s">
        <v>1171</v>
      </c>
      <c r="V106" s="173" t="s">
        <v>1172</v>
      </c>
      <c r="W106" s="30" t="b">
        <v>1</v>
      </c>
      <c r="X106" s="188" t="str">
        <f t="shared" si="2"/>
        <v>O-43NOX</v>
      </c>
      <c r="Y106" s="190" t="str">
        <f t="shared" si="3"/>
        <v>$78k - 440k/ton NOx</v>
      </c>
    </row>
    <row r="107" spans="1:25" x14ac:dyDescent="0.3">
      <c r="A107" s="51" t="str">
        <f>IF(ISNA(VLOOKUP(B107,Shortlist_xref!$A$5:$B$77,2,FALSE))=TRUE,"-",VLOOKUP(B107,Shortlist_xref!$A$5:$B$77,2,FALSE))</f>
        <v>-</v>
      </c>
      <c r="B107" s="57" t="s">
        <v>891</v>
      </c>
      <c r="C107" s="131" t="s">
        <v>181</v>
      </c>
      <c r="D107" s="138" t="s">
        <v>892</v>
      </c>
      <c r="E107" s="131" t="s">
        <v>53</v>
      </c>
      <c r="F107" s="132">
        <v>0.01</v>
      </c>
      <c r="G107" s="132">
        <v>1</v>
      </c>
      <c r="H107" s="133" t="s">
        <v>898</v>
      </c>
      <c r="I107" s="134">
        <v>8.5013330242014726E-2</v>
      </c>
      <c r="J107" s="123">
        <v>1282.5115850693892</v>
      </c>
      <c r="K107" s="136" t="s">
        <v>895</v>
      </c>
      <c r="L107" s="130" t="s">
        <v>896</v>
      </c>
      <c r="M107" s="198" t="s">
        <v>897</v>
      </c>
      <c r="N107" s="198" t="s">
        <v>864</v>
      </c>
      <c r="O107" s="198" t="s">
        <v>381</v>
      </c>
      <c r="P107" s="198" t="s">
        <v>381</v>
      </c>
      <c r="Q107" s="198" t="s">
        <v>381</v>
      </c>
      <c r="R107" s="173" t="s">
        <v>1172</v>
      </c>
      <c r="S107" s="173" t="s">
        <v>1172</v>
      </c>
      <c r="T107" s="173" t="s">
        <v>1171</v>
      </c>
      <c r="U107" s="173" t="s">
        <v>1171</v>
      </c>
      <c r="V107" s="173" t="s">
        <v>1172</v>
      </c>
      <c r="W107" s="30" t="b">
        <v>1</v>
      </c>
      <c r="X107" s="188" t="str">
        <f t="shared" si="2"/>
        <v>O-43VOC</v>
      </c>
      <c r="Y107" s="190" t="str">
        <f t="shared" si="3"/>
        <v>$86k - 490k/ton VOC</v>
      </c>
    </row>
    <row r="108" spans="1:25" ht="24.2" x14ac:dyDescent="0.3">
      <c r="A108" s="51" t="str">
        <f>IF(ISNA(VLOOKUP(B108,Shortlist_xref!$A$5:$B$77,2,FALSE))=TRUE,"-",VLOOKUP(B108,Shortlist_xref!$A$5:$B$77,2,FALSE))</f>
        <v>R-Select</v>
      </c>
      <c r="B108" s="57" t="s">
        <v>196</v>
      </c>
      <c r="C108" s="131" t="s">
        <v>197</v>
      </c>
      <c r="D108" s="138" t="s">
        <v>198</v>
      </c>
      <c r="E108" s="131" t="s">
        <v>12</v>
      </c>
      <c r="F108" s="132">
        <v>0.01</v>
      </c>
      <c r="G108" s="132">
        <v>1</v>
      </c>
      <c r="H108" s="133" t="s">
        <v>790</v>
      </c>
      <c r="I108" s="134">
        <v>9.6364916194584833E-3</v>
      </c>
      <c r="J108" s="123">
        <v>103.32870667115543</v>
      </c>
      <c r="K108" s="128" t="s">
        <v>705</v>
      </c>
      <c r="L108" s="130" t="s">
        <v>899</v>
      </c>
      <c r="M108" s="198" t="s">
        <v>900</v>
      </c>
      <c r="N108" s="198" t="s">
        <v>751</v>
      </c>
      <c r="O108" s="198" t="s">
        <v>381</v>
      </c>
      <c r="P108" s="198" t="s">
        <v>381</v>
      </c>
      <c r="Q108" s="198" t="s">
        <v>381</v>
      </c>
      <c r="R108" s="173" t="s">
        <v>1171</v>
      </c>
      <c r="S108" s="173" t="s">
        <v>1171</v>
      </c>
      <c r="T108" s="173" t="s">
        <v>1171</v>
      </c>
      <c r="U108" s="173" t="s">
        <v>1172</v>
      </c>
      <c r="V108" s="173" t="s">
        <v>1172</v>
      </c>
      <c r="W108" s="30" t="b">
        <v>1</v>
      </c>
      <c r="X108" s="188" t="str">
        <f t="shared" si="2"/>
        <v>N-18NOx</v>
      </c>
      <c r="Y108" s="190" t="str">
        <f t="shared" si="3"/>
        <v>$16,000/ton NOx+VOC</v>
      </c>
    </row>
    <row r="109" spans="1:25" ht="24.2" x14ac:dyDescent="0.3">
      <c r="A109" s="51" t="str">
        <f>IF(ISNA(VLOOKUP(B109,Shortlist_xref!$A$5:$B$77,2,FALSE))=TRUE,"-",VLOOKUP(B109,Shortlist_xref!$A$5:$B$77,2,FALSE))</f>
        <v>R-Select</v>
      </c>
      <c r="B109" s="57" t="s">
        <v>196</v>
      </c>
      <c r="C109" s="131" t="s">
        <v>197</v>
      </c>
      <c r="D109" s="138" t="s">
        <v>198</v>
      </c>
      <c r="E109" s="131" t="s">
        <v>53</v>
      </c>
      <c r="F109" s="132">
        <v>0.01</v>
      </c>
      <c r="G109" s="132">
        <v>1</v>
      </c>
      <c r="H109" s="133" t="s">
        <v>790</v>
      </c>
      <c r="I109" s="134">
        <v>3.7370598997232031E-2</v>
      </c>
      <c r="J109" s="123">
        <v>563.7730696879089</v>
      </c>
      <c r="K109" s="128" t="s">
        <v>705</v>
      </c>
      <c r="L109" s="130" t="s">
        <v>899</v>
      </c>
      <c r="M109" s="198" t="s">
        <v>900</v>
      </c>
      <c r="N109" s="198" t="s">
        <v>751</v>
      </c>
      <c r="O109" s="198" t="s">
        <v>381</v>
      </c>
      <c r="P109" s="198" t="s">
        <v>381</v>
      </c>
      <c r="Q109" s="198" t="s">
        <v>381</v>
      </c>
      <c r="R109" s="173" t="s">
        <v>1171</v>
      </c>
      <c r="S109" s="173" t="s">
        <v>1171</v>
      </c>
      <c r="T109" s="173" t="s">
        <v>1171</v>
      </c>
      <c r="U109" s="173" t="s">
        <v>1172</v>
      </c>
      <c r="V109" s="173" t="s">
        <v>1172</v>
      </c>
      <c r="W109" s="30" t="b">
        <v>1</v>
      </c>
      <c r="X109" s="188" t="str">
        <f t="shared" si="2"/>
        <v>N-18VOC</v>
      </c>
      <c r="Y109" s="190" t="str">
        <f t="shared" si="3"/>
        <v>$16,000/ton NOx+VOC</v>
      </c>
    </row>
    <row r="110" spans="1:25" x14ac:dyDescent="0.3">
      <c r="A110" s="51" t="str">
        <f>IF(ISNA(VLOOKUP(B110,Shortlist_xref!$A$5:$B$77,2,FALSE))=TRUE,"-",VLOOKUP(B110,Shortlist_xref!$A$5:$B$77,2,FALSE))</f>
        <v>-</v>
      </c>
      <c r="B110" s="57" t="s">
        <v>901</v>
      </c>
      <c r="C110" s="131" t="s">
        <v>902</v>
      </c>
      <c r="D110" s="138" t="s">
        <v>773</v>
      </c>
      <c r="E110" s="131" t="s">
        <v>12</v>
      </c>
      <c r="F110" s="132">
        <v>0.01</v>
      </c>
      <c r="G110" s="132">
        <v>1</v>
      </c>
      <c r="H110" s="133" t="s">
        <v>37</v>
      </c>
      <c r="I110" s="134">
        <v>7.1021671946224106E-3</v>
      </c>
      <c r="J110" s="123">
        <v>76.154038187590999</v>
      </c>
      <c r="K110" s="136">
        <v>0</v>
      </c>
      <c r="L110" s="130" t="s">
        <v>903</v>
      </c>
      <c r="M110" s="198" t="s">
        <v>904</v>
      </c>
      <c r="N110" s="198" t="s">
        <v>381</v>
      </c>
      <c r="O110" s="198" t="s">
        <v>381</v>
      </c>
      <c r="P110" s="198" t="s">
        <v>381</v>
      </c>
      <c r="Q110" s="198" t="s">
        <v>381</v>
      </c>
      <c r="R110" s="173" t="s">
        <v>1171</v>
      </c>
      <c r="S110" s="173" t="s">
        <v>1171</v>
      </c>
      <c r="T110" s="173" t="s">
        <v>1171</v>
      </c>
      <c r="U110" s="173" t="s">
        <v>1172</v>
      </c>
      <c r="V110" s="173" t="s">
        <v>1172</v>
      </c>
      <c r="W110" s="30" t="b">
        <v>1</v>
      </c>
      <c r="X110" s="188" t="str">
        <f t="shared" si="2"/>
        <v>N-19NOx</v>
      </c>
      <c r="Y110" s="190" t="str">
        <f t="shared" si="3"/>
        <v>NA</v>
      </c>
    </row>
    <row r="111" spans="1:25" x14ac:dyDescent="0.3">
      <c r="A111" s="51" t="str">
        <f>IF(ISNA(VLOOKUP(B111,Shortlist_xref!$A$5:$B$77,2,FALSE))=TRUE,"-",VLOOKUP(B111,Shortlist_xref!$A$5:$B$77,2,FALSE))</f>
        <v>-</v>
      </c>
      <c r="B111" s="57" t="s">
        <v>901</v>
      </c>
      <c r="C111" s="131" t="s">
        <v>902</v>
      </c>
      <c r="D111" s="138" t="s">
        <v>773</v>
      </c>
      <c r="E111" s="131" t="s">
        <v>53</v>
      </c>
      <c r="F111" s="132">
        <v>0.01</v>
      </c>
      <c r="G111" s="132">
        <v>1</v>
      </c>
      <c r="H111" s="133" t="s">
        <v>37</v>
      </c>
      <c r="I111" s="134">
        <v>4.0759044351472803E-2</v>
      </c>
      <c r="J111" s="123">
        <v>614.89117563455295</v>
      </c>
      <c r="K111" s="136">
        <v>0</v>
      </c>
      <c r="L111" s="130" t="s">
        <v>903</v>
      </c>
      <c r="M111" s="198" t="s">
        <v>904</v>
      </c>
      <c r="N111" s="198" t="s">
        <v>381</v>
      </c>
      <c r="O111" s="198" t="s">
        <v>381</v>
      </c>
      <c r="P111" s="198" t="s">
        <v>381</v>
      </c>
      <c r="Q111" s="198" t="s">
        <v>381</v>
      </c>
      <c r="R111" s="173" t="s">
        <v>1171</v>
      </c>
      <c r="S111" s="173" t="s">
        <v>1171</v>
      </c>
      <c r="T111" s="173" t="s">
        <v>1171</v>
      </c>
      <c r="U111" s="173" t="s">
        <v>1172</v>
      </c>
      <c r="V111" s="173" t="s">
        <v>1172</v>
      </c>
      <c r="W111" s="30" t="b">
        <v>1</v>
      </c>
      <c r="X111" s="188" t="str">
        <f t="shared" si="2"/>
        <v>N-19VOC</v>
      </c>
      <c r="Y111" s="190" t="str">
        <f t="shared" si="3"/>
        <v>NA</v>
      </c>
    </row>
    <row r="112" spans="1:25" x14ac:dyDescent="0.3">
      <c r="A112" s="84" t="s">
        <v>63</v>
      </c>
      <c r="X112" s="188" t="str">
        <f t="shared" si="2"/>
        <v/>
      </c>
      <c r="Y112" s="190">
        <f t="shared" si="3"/>
        <v>0</v>
      </c>
    </row>
    <row r="113" spans="1:25" x14ac:dyDescent="0.3">
      <c r="A113" s="107" t="s">
        <v>298</v>
      </c>
      <c r="B113" s="106"/>
      <c r="X113" s="188" t="str">
        <f t="shared" si="2"/>
        <v/>
      </c>
      <c r="Y113" s="190">
        <f t="shared" si="3"/>
        <v>0</v>
      </c>
    </row>
    <row r="114" spans="1:25" x14ac:dyDescent="0.3">
      <c r="A114" s="107" t="s">
        <v>281</v>
      </c>
      <c r="B114" s="106"/>
      <c r="X114" s="188" t="str">
        <f t="shared" si="2"/>
        <v/>
      </c>
      <c r="Y114" s="190">
        <f t="shared" si="3"/>
        <v>0</v>
      </c>
    </row>
    <row r="115" spans="1:25" x14ac:dyDescent="0.3">
      <c r="B115" s="106"/>
    </row>
  </sheetData>
  <autoFilter ref="A1:L114" xr:uid="{278CB69E-88FA-49FE-A3E4-DD3D48D50B61}"/>
  <conditionalFormatting sqref="F3:J4 F80:J84 F69:J71 F60:J61 F63:J67 F73:J78 J72 F43:J57 F7:J41">
    <cfRule type="notContainsText" dxfId="16" priority="11" operator="notContains" text="NA">
      <formula>ISERROR(SEARCH("NA",F3))</formula>
    </cfRule>
  </conditionalFormatting>
  <conditionalFormatting sqref="F59:J59">
    <cfRule type="notContainsText" dxfId="15" priority="10" operator="notContains" text="NA">
      <formula>ISERROR(SEARCH("NA",F59))</formula>
    </cfRule>
  </conditionalFormatting>
  <conditionalFormatting sqref="F110:J111 F108:G109 I108:J109 F86:J97 F107:J107 F106:G106 I106:J106 F99:J105 F98:G98 I98:J98">
    <cfRule type="notContainsText" dxfId="14" priority="9" operator="notContains" text="NA">
      <formula>ISERROR(SEARCH("NA",F86))</formula>
    </cfRule>
  </conditionalFormatting>
  <conditionalFormatting sqref="F58:G58 I58:J58">
    <cfRule type="notContainsText" dxfId="13" priority="8" operator="notContains" text="NA">
      <formula>ISERROR(SEARCH("NA",F58))</formula>
    </cfRule>
  </conditionalFormatting>
  <conditionalFormatting sqref="K2:K111">
    <cfRule type="cellIs" dxfId="12" priority="7" operator="equal">
      <formula>0</formula>
    </cfRule>
  </conditionalFormatting>
  <conditionalFormatting sqref="F6:J6">
    <cfRule type="notContainsText" dxfId="11" priority="6" operator="notContains" text="NA">
      <formula>ISERROR(SEARCH("NA",F6))</formula>
    </cfRule>
  </conditionalFormatting>
  <conditionalFormatting sqref="H58">
    <cfRule type="notContainsText" dxfId="10" priority="5" operator="notContains" text="NA">
      <formula>ISERROR(SEARCH("NA",H58))</formula>
    </cfRule>
  </conditionalFormatting>
  <conditionalFormatting sqref="H106">
    <cfRule type="notContainsText" dxfId="9" priority="4" operator="notContains" text="NA">
      <formula>ISERROR(SEARCH("NA",H106))</formula>
    </cfRule>
  </conditionalFormatting>
  <conditionalFormatting sqref="H109">
    <cfRule type="notContainsText" dxfId="8" priority="3" operator="notContains" text="NA">
      <formula>ISERROR(SEARCH("NA",H109))</formula>
    </cfRule>
  </conditionalFormatting>
  <conditionalFormatting sqref="H108">
    <cfRule type="notContainsText" dxfId="7" priority="2" operator="notContains" text="NA">
      <formula>ISERROR(SEARCH("NA",H108))</formula>
    </cfRule>
  </conditionalFormatting>
  <conditionalFormatting sqref="H98">
    <cfRule type="notContainsText" dxfId="6" priority="1" operator="notContains" text="NA">
      <formula>ISERROR(SEARCH("NA",H98))</formula>
    </cfRule>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80F450-29F5-4187-9230-635F550A0CD1}">
  <sheetPr>
    <tabColor theme="1"/>
  </sheetPr>
  <dimension ref="A1:BB131"/>
  <sheetViews>
    <sheetView zoomScale="55" zoomScaleNormal="55" workbookViewId="0">
      <pane ySplit="2" topLeftCell="A3" activePane="bottomLeft" state="frozen"/>
      <selection activeCell="H7" sqref="H7"/>
      <selection pane="bottomLeft" sqref="A1:XFD1048576"/>
    </sheetView>
  </sheetViews>
  <sheetFormatPr defaultRowHeight="14.4" x14ac:dyDescent="0.3"/>
  <cols>
    <col min="1" max="1" width="8.796875" style="83"/>
    <col min="2" max="2" width="12.69921875" style="79" customWidth="1"/>
    <col min="3" max="3" width="27.296875" customWidth="1"/>
    <col min="4" max="4" width="37.8984375" customWidth="1"/>
    <col min="6" max="6" width="8.8984375" customWidth="1"/>
    <col min="7" max="11" width="11" customWidth="1"/>
    <col min="12" max="16" width="25.09765625" customWidth="1"/>
    <col min="17" max="17" width="35.296875" customWidth="1"/>
    <col min="18" max="24" width="0" hidden="1" customWidth="1"/>
  </cols>
  <sheetData>
    <row r="1" spans="1:54" ht="42.05" customHeight="1" x14ac:dyDescent="0.3">
      <c r="A1" s="204" t="s">
        <v>238</v>
      </c>
      <c r="B1" s="206" t="s">
        <v>65</v>
      </c>
      <c r="C1" s="206" t="s">
        <v>1</v>
      </c>
      <c r="D1" s="206" t="s">
        <v>2</v>
      </c>
      <c r="E1" s="206" t="s">
        <v>66</v>
      </c>
      <c r="F1" s="206" t="s">
        <v>220</v>
      </c>
      <c r="G1" s="206"/>
      <c r="H1" s="206"/>
      <c r="I1" s="206"/>
      <c r="J1" s="206"/>
      <c r="K1" s="206"/>
      <c r="L1" s="203" t="s">
        <v>275</v>
      </c>
      <c r="M1" s="203"/>
      <c r="N1" s="203"/>
      <c r="O1" s="203"/>
      <c r="P1" s="203"/>
      <c r="Q1" s="203"/>
      <c r="R1" t="s">
        <v>67</v>
      </c>
      <c r="S1" t="s">
        <v>68</v>
      </c>
      <c r="T1" t="s">
        <v>69</v>
      </c>
      <c r="U1" t="s">
        <v>70</v>
      </c>
      <c r="V1" t="s">
        <v>71</v>
      </c>
      <c r="W1" t="s">
        <v>72</v>
      </c>
    </row>
    <row r="2" spans="1:54" x14ac:dyDescent="0.3">
      <c r="A2" s="205"/>
      <c r="B2" s="206"/>
      <c r="C2" s="206"/>
      <c r="D2" s="206"/>
      <c r="E2" s="206"/>
      <c r="F2" s="16" t="s">
        <v>67</v>
      </c>
      <c r="G2" s="16" t="s">
        <v>68</v>
      </c>
      <c r="H2" s="16" t="s">
        <v>69</v>
      </c>
      <c r="I2" s="16" t="s">
        <v>70</v>
      </c>
      <c r="J2" s="16" t="s">
        <v>71</v>
      </c>
      <c r="K2" s="16" t="s">
        <v>72</v>
      </c>
      <c r="L2" s="16" t="s">
        <v>67</v>
      </c>
      <c r="M2" s="16" t="s">
        <v>68</v>
      </c>
      <c r="N2" s="16" t="s">
        <v>69</v>
      </c>
      <c r="O2" s="16" t="s">
        <v>70</v>
      </c>
      <c r="P2" s="16" t="s">
        <v>71</v>
      </c>
      <c r="Q2" s="16" t="s">
        <v>72</v>
      </c>
      <c r="R2" s="96" t="s">
        <v>266</v>
      </c>
      <c r="S2" s="96" t="s">
        <v>267</v>
      </c>
      <c r="T2" s="96" t="s">
        <v>268</v>
      </c>
      <c r="U2" s="96" t="s">
        <v>269</v>
      </c>
      <c r="V2" s="96" t="s">
        <v>270</v>
      </c>
      <c r="W2" s="96" t="s">
        <v>271</v>
      </c>
    </row>
    <row r="3" spans="1:54" s="30" customFormat="1" ht="14.4" customHeight="1" x14ac:dyDescent="0.25">
      <c r="A3" s="46" t="s">
        <v>199</v>
      </c>
      <c r="B3" s="74"/>
      <c r="C3" s="46"/>
      <c r="D3" s="46"/>
      <c r="E3" s="46"/>
      <c r="F3" s="46"/>
      <c r="G3" s="46"/>
      <c r="H3" s="46"/>
      <c r="I3" s="46"/>
      <c r="J3" s="46"/>
      <c r="K3" s="46"/>
      <c r="L3" s="46"/>
      <c r="M3" s="46"/>
      <c r="N3" s="46"/>
      <c r="O3" s="46"/>
      <c r="P3" s="46"/>
      <c r="Q3" s="46"/>
      <c r="R3" s="48"/>
      <c r="S3" s="48"/>
      <c r="T3" s="48"/>
      <c r="U3" s="48"/>
      <c r="V3" s="48"/>
      <c r="W3" s="48"/>
      <c r="X3" s="48"/>
      <c r="Y3" s="48"/>
      <c r="Z3" s="48"/>
      <c r="AA3" s="48"/>
      <c r="AB3" s="48"/>
      <c r="AC3" s="48"/>
      <c r="AD3" s="48"/>
      <c r="AE3" s="48"/>
      <c r="AF3" s="48"/>
      <c r="AG3" s="48"/>
      <c r="AH3" s="48"/>
      <c r="AI3" s="48"/>
      <c r="AJ3" s="48"/>
      <c r="AK3" s="48"/>
      <c r="AL3" s="48"/>
      <c r="AM3" s="48"/>
      <c r="AN3" s="48"/>
      <c r="AO3" s="48"/>
      <c r="AP3" s="48"/>
      <c r="AQ3" s="48"/>
      <c r="AR3" s="48"/>
      <c r="AS3" s="48"/>
      <c r="AT3" s="48"/>
      <c r="AU3" s="48"/>
      <c r="AV3" s="48"/>
      <c r="AW3" s="48"/>
      <c r="AX3" s="48"/>
      <c r="AY3" s="48"/>
      <c r="AZ3" s="48"/>
      <c r="BA3" s="48"/>
      <c r="BB3" s="48"/>
    </row>
    <row r="4" spans="1:54" ht="24.8" x14ac:dyDescent="0.3">
      <c r="A4" s="51" t="str">
        <f>IF(ISNA(VLOOKUP(B4,Shortlist_xref!$A$5:$B$77,2,FALSE))=TRUE,"-",VLOOKUP(B4,Shortlist_xref!$A$5:$B$77,2,FALSE))</f>
        <v>-</v>
      </c>
      <c r="B4" s="75" t="s">
        <v>609</v>
      </c>
      <c r="C4" s="36" t="s">
        <v>610</v>
      </c>
      <c r="D4" s="36" t="s">
        <v>611</v>
      </c>
      <c r="E4" s="36" t="s">
        <v>12</v>
      </c>
      <c r="F4" s="9" t="s">
        <v>37</v>
      </c>
      <c r="G4" s="9" t="s">
        <v>37</v>
      </c>
      <c r="H4" s="9" t="s">
        <v>37</v>
      </c>
      <c r="I4" s="9" t="s">
        <v>37</v>
      </c>
      <c r="J4" s="9" t="s">
        <v>37</v>
      </c>
      <c r="K4" s="9" t="s">
        <v>37</v>
      </c>
      <c r="L4" s="36" t="s">
        <v>599</v>
      </c>
      <c r="M4" s="36" t="s">
        <v>599</v>
      </c>
      <c r="N4" s="36" t="s">
        <v>599</v>
      </c>
      <c r="O4" s="36" t="s">
        <v>599</v>
      </c>
      <c r="P4" s="36" t="s">
        <v>599</v>
      </c>
      <c r="Q4" s="36" t="s">
        <v>599</v>
      </c>
      <c r="R4" s="30" t="str">
        <f t="shared" ref="R4:W4" si="0">IF(L4="","",HLOOKUP(L$2,$R$1:$W$2,2,FALSE))</f>
        <v>IL</v>
      </c>
      <c r="S4" s="30" t="str">
        <f t="shared" si="0"/>
        <v>IN</v>
      </c>
      <c r="T4" s="30" t="str">
        <f t="shared" si="0"/>
        <v>MI</v>
      </c>
      <c r="U4" s="30" t="str">
        <f t="shared" si="0"/>
        <v>MN</v>
      </c>
      <c r="V4" s="30" t="str">
        <f t="shared" si="0"/>
        <v>OH</v>
      </c>
      <c r="W4" s="30" t="str">
        <f t="shared" si="0"/>
        <v>WI</v>
      </c>
      <c r="X4" s="30" t="str">
        <f>R4&amp;S4&amp;T4&amp;U4&amp;V4&amp;W4</f>
        <v>ILINMIMNOHWI</v>
      </c>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row>
    <row r="5" spans="1:54" ht="24.8" x14ac:dyDescent="0.3">
      <c r="A5" s="51" t="str">
        <f>IF(ISNA(VLOOKUP(B5,Shortlist_xref!$A$5:$B$77,2,FALSE))=TRUE,"-",VLOOKUP(B5,Shortlist_xref!$A$5:$B$77,2,FALSE))</f>
        <v>-</v>
      </c>
      <c r="B5" s="75" t="s">
        <v>609</v>
      </c>
      <c r="C5" s="36" t="s">
        <v>610</v>
      </c>
      <c r="D5" s="36" t="s">
        <v>611</v>
      </c>
      <c r="E5" s="36" t="s">
        <v>53</v>
      </c>
      <c r="F5" s="9" t="s">
        <v>37</v>
      </c>
      <c r="G5" s="9" t="s">
        <v>37</v>
      </c>
      <c r="H5" s="9" t="s">
        <v>37</v>
      </c>
      <c r="I5" s="9" t="s">
        <v>37</v>
      </c>
      <c r="J5" s="9" t="s">
        <v>37</v>
      </c>
      <c r="K5" s="9" t="s">
        <v>37</v>
      </c>
      <c r="L5" s="36" t="s">
        <v>599</v>
      </c>
      <c r="M5" s="36" t="s">
        <v>599</v>
      </c>
      <c r="N5" s="36" t="s">
        <v>599</v>
      </c>
      <c r="O5" s="36" t="s">
        <v>599</v>
      </c>
      <c r="P5" s="36" t="s">
        <v>599</v>
      </c>
      <c r="Q5" s="36" t="s">
        <v>599</v>
      </c>
      <c r="R5" s="30" t="str">
        <f t="shared" ref="R5:R69" si="1">IF(L5="","",HLOOKUP(L$2,$R$1:$W$2,2,FALSE))</f>
        <v>IL</v>
      </c>
      <c r="S5" s="30" t="str">
        <f t="shared" ref="S5:S69" si="2">IF(M5="","",HLOOKUP(M$2,$R$1:$W$2,2,FALSE))</f>
        <v>IN</v>
      </c>
      <c r="T5" s="30" t="str">
        <f t="shared" ref="T5:T69" si="3">IF(N5="","",HLOOKUP(N$2,$R$1:$W$2,2,FALSE))</f>
        <v>MI</v>
      </c>
      <c r="U5" s="30" t="str">
        <f t="shared" ref="U5:U69" si="4">IF(O5="","",HLOOKUP(O$2,$R$1:$W$2,2,FALSE))</f>
        <v>MN</v>
      </c>
      <c r="V5" s="30" t="str">
        <f t="shared" ref="V5:V69" si="5">IF(P5="","",HLOOKUP(P$2,$R$1:$W$2,2,FALSE))</f>
        <v>OH</v>
      </c>
      <c r="W5" s="30" t="str">
        <f t="shared" ref="W5:W69" si="6">IF(Q5="","",HLOOKUP(Q$2,$R$1:$W$2,2,FALSE))</f>
        <v>WI</v>
      </c>
      <c r="X5" s="30" t="str">
        <f t="shared" ref="X5:X69" si="7">R5&amp;S5&amp;T5&amp;U5&amp;V5&amp;W5</f>
        <v>ILINMIMNOHWI</v>
      </c>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row>
    <row r="6" spans="1:54" x14ac:dyDescent="0.3">
      <c r="A6" s="46" t="s">
        <v>144</v>
      </c>
      <c r="B6" s="76"/>
      <c r="C6" s="53"/>
      <c r="D6" s="53"/>
      <c r="E6" s="53"/>
      <c r="F6" s="54"/>
      <c r="G6" s="54"/>
      <c r="H6" s="54"/>
      <c r="I6" s="54"/>
      <c r="J6" s="54"/>
      <c r="K6" s="54"/>
      <c r="L6" s="28"/>
      <c r="M6" s="28"/>
      <c r="N6" s="28"/>
      <c r="O6" s="28"/>
      <c r="P6" s="28"/>
      <c r="Q6" s="28"/>
      <c r="R6" s="30" t="str">
        <f t="shared" si="1"/>
        <v/>
      </c>
      <c r="S6" s="30" t="str">
        <f t="shared" si="2"/>
        <v/>
      </c>
      <c r="T6" s="30" t="str">
        <f t="shared" si="3"/>
        <v/>
      </c>
      <c r="U6" s="30" t="str">
        <f t="shared" si="4"/>
        <v/>
      </c>
      <c r="V6" s="30" t="str">
        <f t="shared" si="5"/>
        <v/>
      </c>
      <c r="W6" s="30" t="str">
        <f t="shared" si="6"/>
        <v/>
      </c>
      <c r="X6" s="30" t="str">
        <f t="shared" si="7"/>
        <v/>
      </c>
      <c r="Y6" s="48"/>
      <c r="Z6" s="48"/>
      <c r="AA6" s="48"/>
      <c r="AB6" s="48"/>
      <c r="AC6" s="48"/>
      <c r="AD6" s="48"/>
      <c r="AE6" s="48"/>
      <c r="AF6" s="48"/>
      <c r="AG6" s="48"/>
      <c r="AH6" s="48"/>
      <c r="AI6" s="48"/>
      <c r="AJ6" s="48"/>
      <c r="AK6" s="48"/>
      <c r="AL6" s="48"/>
      <c r="AM6" s="48"/>
      <c r="AN6" s="48"/>
      <c r="AO6" s="48"/>
      <c r="AP6" s="48"/>
      <c r="AQ6" s="48"/>
      <c r="AR6" s="48"/>
      <c r="AS6" s="48"/>
      <c r="AT6" s="48"/>
      <c r="AU6" s="48"/>
      <c r="AV6" s="48"/>
      <c r="AW6" s="48"/>
      <c r="AX6" s="48"/>
      <c r="AY6" s="48"/>
      <c r="AZ6" s="48"/>
      <c r="BA6" s="48"/>
      <c r="BB6" s="48"/>
    </row>
    <row r="7" spans="1:54" ht="114.65" customHeight="1" x14ac:dyDescent="0.3">
      <c r="A7" s="51" t="str">
        <f>IF(ISNA(VLOOKUP(B7,Shortlist_xref!$A$5:$B$77,2,FALSE))=TRUE,"-",VLOOKUP(B7,Shortlist_xref!$A$5:$B$77,2,FALSE))</f>
        <v>CE</v>
      </c>
      <c r="B7" s="121" t="s">
        <v>200</v>
      </c>
      <c r="C7" s="122" t="s">
        <v>145</v>
      </c>
      <c r="D7" s="122" t="s">
        <v>212</v>
      </c>
      <c r="E7" s="122" t="s">
        <v>12</v>
      </c>
      <c r="F7" s="123">
        <v>3.4766816862292984</v>
      </c>
      <c r="G7" s="123">
        <v>3.1878631819662679</v>
      </c>
      <c r="H7" s="123">
        <v>3.9156605063280168</v>
      </c>
      <c r="I7" s="123">
        <v>2.5467431348376461</v>
      </c>
      <c r="J7" s="123">
        <v>4.629806508495717</v>
      </c>
      <c r="K7" s="123">
        <v>2.115287912279864</v>
      </c>
      <c r="L7" s="124" t="s">
        <v>905</v>
      </c>
      <c r="M7" s="124" t="s">
        <v>906</v>
      </c>
      <c r="N7" s="124" t="s">
        <v>907</v>
      </c>
      <c r="O7" s="124" t="s">
        <v>908</v>
      </c>
      <c r="P7" s="124" t="s">
        <v>909</v>
      </c>
      <c r="Q7" s="124" t="s">
        <v>910</v>
      </c>
      <c r="R7" s="30" t="str">
        <f t="shared" si="1"/>
        <v>IL</v>
      </c>
      <c r="S7" s="30" t="str">
        <f t="shared" si="2"/>
        <v>IN</v>
      </c>
      <c r="T7" s="30" t="str">
        <f t="shared" si="3"/>
        <v>MI</v>
      </c>
      <c r="U7" s="30" t="str">
        <f t="shared" si="4"/>
        <v>MN</v>
      </c>
      <c r="V7" s="30" t="str">
        <f t="shared" si="5"/>
        <v>OH</v>
      </c>
      <c r="W7" s="30" t="str">
        <f t="shared" si="6"/>
        <v>WI</v>
      </c>
      <c r="X7" s="30" t="str">
        <f t="shared" si="7"/>
        <v>ILINMIMNOHWI</v>
      </c>
    </row>
    <row r="8" spans="1:54" ht="114.65" customHeight="1" x14ac:dyDescent="0.3">
      <c r="A8" s="51" t="str">
        <f>IF(ISNA(VLOOKUP(B8,Shortlist_xref!$A$5:$B$77,2,FALSE))=TRUE,"-",VLOOKUP(B8,Shortlist_xref!$A$5:$B$77,2,FALSE))</f>
        <v>CE</v>
      </c>
      <c r="B8" s="121" t="s">
        <v>200</v>
      </c>
      <c r="C8" s="122" t="s">
        <v>145</v>
      </c>
      <c r="D8" s="122" t="s">
        <v>212</v>
      </c>
      <c r="E8" s="122" t="s">
        <v>53</v>
      </c>
      <c r="F8" s="125">
        <v>0.26745500618191048</v>
      </c>
      <c r="G8" s="125">
        <v>0.21472492728863563</v>
      </c>
      <c r="H8" s="125">
        <v>0.2662772927814131</v>
      </c>
      <c r="I8" s="125">
        <v>0.177527377148956</v>
      </c>
      <c r="J8" s="125">
        <v>0.32125016609442347</v>
      </c>
      <c r="K8" s="125">
        <v>0.14832559471292184</v>
      </c>
      <c r="L8" s="124" t="s">
        <v>905</v>
      </c>
      <c r="M8" s="124" t="s">
        <v>906</v>
      </c>
      <c r="N8" s="124" t="s">
        <v>907</v>
      </c>
      <c r="O8" s="124" t="s">
        <v>908</v>
      </c>
      <c r="P8" s="124" t="s">
        <v>909</v>
      </c>
      <c r="Q8" s="124" t="s">
        <v>910</v>
      </c>
      <c r="R8" s="30"/>
      <c r="S8" s="30"/>
      <c r="T8" s="30"/>
      <c r="U8" s="30"/>
      <c r="V8" s="30"/>
      <c r="W8" s="30"/>
      <c r="X8" s="30"/>
    </row>
    <row r="9" spans="1:54" ht="114.65" customHeight="1" x14ac:dyDescent="0.3">
      <c r="A9" s="51" t="str">
        <f>IF(ISNA(VLOOKUP(B9,Shortlist_xref!$A$5:$B$77,2,FALSE))=TRUE,"-",VLOOKUP(B9,Shortlist_xref!$A$5:$B$77,2,FALSE))</f>
        <v>-</v>
      </c>
      <c r="B9" s="121" t="s">
        <v>616</v>
      </c>
      <c r="C9" s="122" t="s">
        <v>145</v>
      </c>
      <c r="D9" s="122" t="s">
        <v>617</v>
      </c>
      <c r="E9" s="122" t="s">
        <v>53</v>
      </c>
      <c r="F9" s="123">
        <v>6.6863751545477612</v>
      </c>
      <c r="G9" s="123">
        <v>5.368123182215891</v>
      </c>
      <c r="H9" s="123">
        <v>6.6569323195353283</v>
      </c>
      <c r="I9" s="123">
        <v>4.4381844287238996</v>
      </c>
      <c r="J9" s="123">
        <v>8.0312541523605869</v>
      </c>
      <c r="K9" s="123">
        <v>3.7081398678230459</v>
      </c>
      <c r="L9" s="124" t="s">
        <v>905</v>
      </c>
      <c r="M9" s="124" t="s">
        <v>906</v>
      </c>
      <c r="N9" s="124" t="s">
        <v>907</v>
      </c>
      <c r="O9" s="124" t="s">
        <v>908</v>
      </c>
      <c r="P9" s="124" t="s">
        <v>909</v>
      </c>
      <c r="Q9" s="124" t="s">
        <v>910</v>
      </c>
      <c r="R9" s="30" t="str">
        <f t="shared" si="1"/>
        <v>IL</v>
      </c>
      <c r="S9" s="30" t="str">
        <f t="shared" si="2"/>
        <v>IN</v>
      </c>
      <c r="T9" s="30" t="str">
        <f t="shared" si="3"/>
        <v>MI</v>
      </c>
      <c r="U9" s="30" t="str">
        <f t="shared" si="4"/>
        <v>MN</v>
      </c>
      <c r="V9" s="30" t="str">
        <f t="shared" si="5"/>
        <v>OH</v>
      </c>
      <c r="W9" s="30" t="str">
        <f t="shared" si="6"/>
        <v>WI</v>
      </c>
      <c r="X9" s="30" t="str">
        <f t="shared" si="7"/>
        <v>ILINMIMNOHWI</v>
      </c>
    </row>
    <row r="10" spans="1:54" ht="114.65" customHeight="1" x14ac:dyDescent="0.3">
      <c r="A10" s="51" t="str">
        <f>IF(ISNA(VLOOKUP(B10,Shortlist_xref!$A$5:$B$77,2,FALSE))=TRUE,"-",VLOOKUP(B10,Shortlist_xref!$A$5:$B$77,2,FALSE))</f>
        <v>EmissRed</v>
      </c>
      <c r="B10" s="121" t="s">
        <v>201</v>
      </c>
      <c r="C10" s="122" t="s">
        <v>145</v>
      </c>
      <c r="D10" s="122" t="s">
        <v>213</v>
      </c>
      <c r="E10" s="122" t="s">
        <v>53</v>
      </c>
      <c r="F10" s="123">
        <v>802.36501854573112</v>
      </c>
      <c r="G10" s="123">
        <v>644.17478186590699</v>
      </c>
      <c r="H10" s="123">
        <v>798.83187834423984</v>
      </c>
      <c r="I10" s="123">
        <v>532.58213144686772</v>
      </c>
      <c r="J10" s="123">
        <v>963.75049828327053</v>
      </c>
      <c r="K10" s="123">
        <v>444.97678413876542</v>
      </c>
      <c r="L10" s="124" t="s">
        <v>905</v>
      </c>
      <c r="M10" s="124" t="s">
        <v>906</v>
      </c>
      <c r="N10" s="124" t="s">
        <v>907</v>
      </c>
      <c r="O10" s="124" t="s">
        <v>908</v>
      </c>
      <c r="P10" s="124" t="s">
        <v>909</v>
      </c>
      <c r="Q10" s="124" t="s">
        <v>910</v>
      </c>
      <c r="R10" s="30" t="str">
        <f t="shared" si="1"/>
        <v>IL</v>
      </c>
      <c r="S10" s="30" t="str">
        <f t="shared" si="2"/>
        <v>IN</v>
      </c>
      <c r="T10" s="30" t="str">
        <f t="shared" si="3"/>
        <v>MI</v>
      </c>
      <c r="U10" s="30" t="str">
        <f t="shared" si="4"/>
        <v>MN</v>
      </c>
      <c r="V10" s="30" t="str">
        <f t="shared" si="5"/>
        <v>OH</v>
      </c>
      <c r="W10" s="30" t="str">
        <f t="shared" si="6"/>
        <v>WI</v>
      </c>
      <c r="X10" s="30" t="str">
        <f t="shared" si="7"/>
        <v>ILINMIMNOHWI</v>
      </c>
    </row>
    <row r="11" spans="1:54" ht="22.2" customHeight="1" x14ac:dyDescent="0.3">
      <c r="A11" s="51" t="str">
        <f>IF(ISNA(VLOOKUP(B11,Shortlist_xref!$A$5:$B$77,2,FALSE))=TRUE,"-",VLOOKUP(B11,Shortlist_xref!$A$5:$B$77,2,FALSE))</f>
        <v>-</v>
      </c>
      <c r="B11" s="109" t="s">
        <v>619</v>
      </c>
      <c r="C11" s="36" t="s">
        <v>620</v>
      </c>
      <c r="D11" s="36" t="s">
        <v>621</v>
      </c>
      <c r="E11" s="36" t="s">
        <v>12</v>
      </c>
      <c r="F11" s="9">
        <v>0.89938377309745965</v>
      </c>
      <c r="G11" s="9">
        <v>0.82426409894548525</v>
      </c>
      <c r="H11" s="9">
        <v>1.0026596751928456</v>
      </c>
      <c r="I11" s="9">
        <v>0.69077871595334117</v>
      </c>
      <c r="J11" s="9">
        <v>1.2392065268256136</v>
      </c>
      <c r="K11" s="9">
        <v>0.549501855939868</v>
      </c>
      <c r="L11" s="49" t="s">
        <v>381</v>
      </c>
      <c r="M11" s="49" t="s">
        <v>381</v>
      </c>
      <c r="N11" s="49" t="s">
        <v>381</v>
      </c>
      <c r="O11" s="49" t="s">
        <v>381</v>
      </c>
      <c r="P11" s="49" t="s">
        <v>381</v>
      </c>
      <c r="Q11" s="49" t="s">
        <v>381</v>
      </c>
      <c r="R11" s="30" t="str">
        <f t="shared" si="1"/>
        <v/>
      </c>
      <c r="S11" s="30" t="str">
        <f t="shared" si="2"/>
        <v/>
      </c>
      <c r="T11" s="30" t="str">
        <f t="shared" si="3"/>
        <v/>
      </c>
      <c r="U11" s="30" t="str">
        <f t="shared" si="4"/>
        <v/>
      </c>
      <c r="V11" s="30" t="str">
        <f t="shared" si="5"/>
        <v/>
      </c>
      <c r="W11" s="30" t="str">
        <f t="shared" si="6"/>
        <v/>
      </c>
      <c r="X11" s="30" t="str">
        <f t="shared" si="7"/>
        <v/>
      </c>
    </row>
    <row r="12" spans="1:54" ht="22.2" customHeight="1" x14ac:dyDescent="0.3">
      <c r="A12" s="51" t="str">
        <f>IF(ISNA(VLOOKUP(B12,Shortlist_xref!$A$5:$B$77,2,FALSE))=TRUE,"-",VLOOKUP(B12,Shortlist_xref!$A$5:$B$77,2,FALSE))</f>
        <v>-</v>
      </c>
      <c r="B12" s="109" t="s">
        <v>619</v>
      </c>
      <c r="C12" s="36" t="s">
        <v>620</v>
      </c>
      <c r="D12" s="36" t="s">
        <v>621</v>
      </c>
      <c r="E12" s="36" t="s">
        <v>53</v>
      </c>
      <c r="F12" s="9">
        <v>1.2325331035400762</v>
      </c>
      <c r="G12" s="9">
        <v>0.95675768330286715</v>
      </c>
      <c r="H12" s="9">
        <v>1.211312331640592</v>
      </c>
      <c r="I12" s="9">
        <v>0.81869593545320396</v>
      </c>
      <c r="J12" s="9">
        <v>1.5405394274386885</v>
      </c>
      <c r="K12" s="9">
        <v>0.65271944397151549</v>
      </c>
      <c r="L12" s="49" t="s">
        <v>381</v>
      </c>
      <c r="M12" s="49" t="s">
        <v>381</v>
      </c>
      <c r="N12" s="49" t="s">
        <v>381</v>
      </c>
      <c r="O12" s="49" t="s">
        <v>381</v>
      </c>
      <c r="P12" s="49" t="s">
        <v>381</v>
      </c>
      <c r="Q12" s="49" t="s">
        <v>381</v>
      </c>
      <c r="R12" s="30" t="str">
        <f t="shared" si="1"/>
        <v/>
      </c>
      <c r="S12" s="30" t="str">
        <f t="shared" si="2"/>
        <v/>
      </c>
      <c r="T12" s="30" t="str">
        <f t="shared" si="3"/>
        <v/>
      </c>
      <c r="U12" s="30" t="str">
        <f t="shared" si="4"/>
        <v/>
      </c>
      <c r="V12" s="30" t="str">
        <f t="shared" si="5"/>
        <v/>
      </c>
      <c r="W12" s="30" t="str">
        <f t="shared" si="6"/>
        <v/>
      </c>
      <c r="X12" s="30" t="str">
        <f t="shared" si="7"/>
        <v/>
      </c>
    </row>
    <row r="13" spans="1:54" ht="22.2" customHeight="1" x14ac:dyDescent="0.3">
      <c r="A13" s="51" t="str">
        <f>IF(ISNA(VLOOKUP(B13,Shortlist_xref!$A$5:$B$77,2,FALSE))=TRUE,"-",VLOOKUP(B13,Shortlist_xref!$A$5:$B$77,2,FALSE))</f>
        <v>R-Select</v>
      </c>
      <c r="B13" s="109" t="s">
        <v>146</v>
      </c>
      <c r="C13" s="36" t="s">
        <v>147</v>
      </c>
      <c r="D13" s="36" t="s">
        <v>148</v>
      </c>
      <c r="E13" s="36" t="s">
        <v>12</v>
      </c>
      <c r="F13" s="9">
        <v>96.324189331532708</v>
      </c>
      <c r="G13" s="9">
        <v>88.727169011006268</v>
      </c>
      <c r="H13" s="9">
        <v>108.53911912306742</v>
      </c>
      <c r="I13" s="9">
        <v>74.590764554475115</v>
      </c>
      <c r="J13" s="9">
        <v>131.02791131457235</v>
      </c>
      <c r="K13" s="9">
        <v>59.795438302340315</v>
      </c>
      <c r="L13" s="49" t="s">
        <v>381</v>
      </c>
      <c r="M13" s="49" t="s">
        <v>381</v>
      </c>
      <c r="N13" s="49" t="s">
        <v>381</v>
      </c>
      <c r="O13" s="49" t="s">
        <v>381</v>
      </c>
      <c r="P13" s="49" t="s">
        <v>381</v>
      </c>
      <c r="Q13" s="49" t="s">
        <v>381</v>
      </c>
      <c r="R13" s="30" t="str">
        <f t="shared" si="1"/>
        <v/>
      </c>
      <c r="S13" s="30" t="str">
        <f t="shared" si="2"/>
        <v/>
      </c>
      <c r="T13" s="30" t="str">
        <f t="shared" si="3"/>
        <v/>
      </c>
      <c r="U13" s="30" t="str">
        <f t="shared" si="4"/>
        <v/>
      </c>
      <c r="V13" s="30" t="str">
        <f t="shared" si="5"/>
        <v/>
      </c>
      <c r="W13" s="30" t="str">
        <f t="shared" si="6"/>
        <v/>
      </c>
      <c r="X13" s="30" t="str">
        <f t="shared" si="7"/>
        <v/>
      </c>
    </row>
    <row r="14" spans="1:54" ht="22.2" customHeight="1" x14ac:dyDescent="0.3">
      <c r="A14" s="51" t="str">
        <f>IF(ISNA(VLOOKUP(B14,Shortlist_xref!$A$5:$B$77,2,FALSE))=TRUE,"-",VLOOKUP(B14,Shortlist_xref!$A$5:$B$77,2,FALSE))</f>
        <v>R-Select</v>
      </c>
      <c r="B14" s="109" t="s">
        <v>146</v>
      </c>
      <c r="C14" s="36" t="s">
        <v>147</v>
      </c>
      <c r="D14" s="36" t="s">
        <v>148</v>
      </c>
      <c r="E14" s="36" t="s">
        <v>53</v>
      </c>
      <c r="F14" s="9">
        <v>171.8867835730008</v>
      </c>
      <c r="G14" s="9">
        <v>135.95843138674644</v>
      </c>
      <c r="H14" s="9">
        <v>171.17793428300595</v>
      </c>
      <c r="I14" s="9">
        <v>116.37372246744455</v>
      </c>
      <c r="J14" s="9">
        <v>209.84104962508718</v>
      </c>
      <c r="K14" s="9">
        <v>95.534991502349797</v>
      </c>
      <c r="L14" s="49" t="s">
        <v>381</v>
      </c>
      <c r="M14" s="49" t="s">
        <v>381</v>
      </c>
      <c r="N14" s="49" t="s">
        <v>381</v>
      </c>
      <c r="O14" s="49" t="s">
        <v>381</v>
      </c>
      <c r="P14" s="49" t="s">
        <v>381</v>
      </c>
      <c r="Q14" s="49" t="s">
        <v>381</v>
      </c>
      <c r="R14" s="30" t="str">
        <f t="shared" si="1"/>
        <v/>
      </c>
      <c r="S14" s="30" t="str">
        <f t="shared" si="2"/>
        <v/>
      </c>
      <c r="T14" s="30" t="str">
        <f t="shared" si="3"/>
        <v/>
      </c>
      <c r="U14" s="30" t="str">
        <f t="shared" si="4"/>
        <v/>
      </c>
      <c r="V14" s="30" t="str">
        <f t="shared" si="5"/>
        <v/>
      </c>
      <c r="W14" s="30" t="str">
        <f t="shared" si="6"/>
        <v/>
      </c>
      <c r="X14" s="30" t="str">
        <f t="shared" si="7"/>
        <v/>
      </c>
    </row>
    <row r="15" spans="1:54" ht="22.2" customHeight="1" x14ac:dyDescent="0.3">
      <c r="A15" s="51" t="str">
        <f>IF(ISNA(VLOOKUP(B15,Shortlist_xref!$A$5:$B$77,2,FALSE))=TRUE,"-",VLOOKUP(B15,Shortlist_xref!$A$5:$B$77,2,FALSE))</f>
        <v>-</v>
      </c>
      <c r="B15" s="109" t="s">
        <v>632</v>
      </c>
      <c r="C15" s="36" t="s">
        <v>633</v>
      </c>
      <c r="D15" s="36" t="s">
        <v>634</v>
      </c>
      <c r="E15" s="36" t="s">
        <v>12</v>
      </c>
      <c r="F15" s="9">
        <v>6.4833588973147016</v>
      </c>
      <c r="G15" s="9">
        <v>5.9720209911254223</v>
      </c>
      <c r="H15" s="9">
        <v>7.3055176332833849</v>
      </c>
      <c r="I15" s="9">
        <v>5.0205322296281327</v>
      </c>
      <c r="J15" s="9">
        <v>8.8191863384808311</v>
      </c>
      <c r="K15" s="9">
        <v>4.0246929626575216</v>
      </c>
      <c r="L15" s="49" t="s">
        <v>381</v>
      </c>
      <c r="M15" s="49" t="s">
        <v>381</v>
      </c>
      <c r="N15" s="49" t="s">
        <v>381</v>
      </c>
      <c r="O15" s="49" t="s">
        <v>381</v>
      </c>
      <c r="P15" s="49" t="s">
        <v>381</v>
      </c>
      <c r="Q15" s="49" t="s">
        <v>381</v>
      </c>
      <c r="R15" s="30" t="str">
        <f t="shared" si="1"/>
        <v/>
      </c>
      <c r="S15" s="30" t="str">
        <f t="shared" si="2"/>
        <v/>
      </c>
      <c r="T15" s="30" t="str">
        <f t="shared" si="3"/>
        <v/>
      </c>
      <c r="U15" s="30" t="str">
        <f t="shared" si="4"/>
        <v/>
      </c>
      <c r="V15" s="30" t="str">
        <f t="shared" si="5"/>
        <v/>
      </c>
      <c r="W15" s="30" t="str">
        <f t="shared" si="6"/>
        <v/>
      </c>
      <c r="X15" s="30" t="str">
        <f t="shared" si="7"/>
        <v/>
      </c>
    </row>
    <row r="16" spans="1:54" ht="22.2" customHeight="1" x14ac:dyDescent="0.3">
      <c r="A16" s="51" t="str">
        <f>IF(ISNA(VLOOKUP(B16,Shortlist_xref!$A$5:$B$77,2,FALSE))=TRUE,"-",VLOOKUP(B16,Shortlist_xref!$A$5:$B$77,2,FALSE))</f>
        <v>-</v>
      </c>
      <c r="B16" s="109" t="s">
        <v>632</v>
      </c>
      <c r="C16" s="36" t="s">
        <v>633</v>
      </c>
      <c r="D16" s="36" t="s">
        <v>634</v>
      </c>
      <c r="E16" s="36" t="s">
        <v>53</v>
      </c>
      <c r="F16" s="9">
        <v>9.2554421923923513</v>
      </c>
      <c r="G16" s="9">
        <v>7.3208386131325014</v>
      </c>
      <c r="H16" s="9">
        <v>9.2172733844695518</v>
      </c>
      <c r="I16" s="9">
        <v>6.2662773636316302</v>
      </c>
      <c r="J16" s="9">
        <v>11.299133441350849</v>
      </c>
      <c r="K16" s="9">
        <v>5.1441918501265285</v>
      </c>
      <c r="L16" s="49" t="s">
        <v>381</v>
      </c>
      <c r="M16" s="49" t="s">
        <v>381</v>
      </c>
      <c r="N16" s="49" t="s">
        <v>381</v>
      </c>
      <c r="O16" s="49" t="s">
        <v>381</v>
      </c>
      <c r="P16" s="49" t="s">
        <v>381</v>
      </c>
      <c r="Q16" s="49" t="s">
        <v>381</v>
      </c>
      <c r="R16" s="30" t="str">
        <f t="shared" si="1"/>
        <v/>
      </c>
      <c r="S16" s="30" t="str">
        <f t="shared" si="2"/>
        <v/>
      </c>
      <c r="T16" s="30" t="str">
        <f t="shared" si="3"/>
        <v/>
      </c>
      <c r="U16" s="30" t="str">
        <f t="shared" si="4"/>
        <v/>
      </c>
      <c r="V16" s="30" t="str">
        <f t="shared" si="5"/>
        <v/>
      </c>
      <c r="W16" s="30" t="str">
        <f t="shared" si="6"/>
        <v/>
      </c>
      <c r="X16" s="30" t="str">
        <f t="shared" si="7"/>
        <v/>
      </c>
    </row>
    <row r="17" spans="1:24" ht="22.2" customHeight="1" x14ac:dyDescent="0.3">
      <c r="A17" s="51" t="str">
        <f>IF(ISNA(VLOOKUP(B17,Shortlist_xref!$A$5:$B$77,2,FALSE))=TRUE,"-",VLOOKUP(B17,Shortlist_xref!$A$5:$B$77,2,FALSE))</f>
        <v>EmissRed</v>
      </c>
      <c r="B17" s="109" t="s">
        <v>202</v>
      </c>
      <c r="C17" s="36" t="s">
        <v>360</v>
      </c>
      <c r="D17" s="36" t="s">
        <v>361</v>
      </c>
      <c r="E17" s="36" t="s">
        <v>12</v>
      </c>
      <c r="F17" s="9">
        <v>717.96931593204033</v>
      </c>
      <c r="G17" s="9">
        <v>550.38586923000139</v>
      </c>
      <c r="H17" s="9">
        <v>272.43915739161099</v>
      </c>
      <c r="I17" s="9">
        <v>224.81384079975498</v>
      </c>
      <c r="J17" s="9">
        <v>457.8664584486616</v>
      </c>
      <c r="K17" s="9">
        <v>433.20638773463224</v>
      </c>
      <c r="L17" s="49" t="s">
        <v>381</v>
      </c>
      <c r="M17" s="49" t="s">
        <v>381</v>
      </c>
      <c r="N17" s="49" t="s">
        <v>381</v>
      </c>
      <c r="O17" s="49" t="s">
        <v>381</v>
      </c>
      <c r="P17" s="49" t="s">
        <v>381</v>
      </c>
      <c r="Q17" s="49" t="s">
        <v>381</v>
      </c>
      <c r="R17" s="30" t="str">
        <f t="shared" si="1"/>
        <v/>
      </c>
      <c r="S17" s="30" t="str">
        <f t="shared" si="2"/>
        <v/>
      </c>
      <c r="T17" s="30" t="str">
        <f t="shared" si="3"/>
        <v/>
      </c>
      <c r="U17" s="30" t="str">
        <f t="shared" si="4"/>
        <v/>
      </c>
      <c r="V17" s="30" t="str">
        <f t="shared" si="5"/>
        <v/>
      </c>
      <c r="W17" s="30" t="str">
        <f t="shared" si="6"/>
        <v/>
      </c>
      <c r="X17" s="30" t="str">
        <f t="shared" si="7"/>
        <v/>
      </c>
    </row>
    <row r="18" spans="1:24" ht="22.2" customHeight="1" x14ac:dyDescent="0.3">
      <c r="A18" s="51" t="str">
        <f>IF(ISNA(VLOOKUP(B18,Shortlist_xref!$A$5:$B$77,2,FALSE))=TRUE,"-",VLOOKUP(B18,Shortlist_xref!$A$5:$B$77,2,FALSE))</f>
        <v>-</v>
      </c>
      <c r="B18" s="109" t="s">
        <v>639</v>
      </c>
      <c r="C18" s="36" t="s">
        <v>640</v>
      </c>
      <c r="D18" s="36" t="s">
        <v>641</v>
      </c>
      <c r="E18" s="36" t="s">
        <v>642</v>
      </c>
      <c r="F18" s="9" t="s">
        <v>37</v>
      </c>
      <c r="G18" s="9" t="s">
        <v>37</v>
      </c>
      <c r="H18" s="9" t="s">
        <v>37</v>
      </c>
      <c r="I18" s="9" t="s">
        <v>37</v>
      </c>
      <c r="J18" s="9" t="s">
        <v>37</v>
      </c>
      <c r="K18" s="9" t="s">
        <v>37</v>
      </c>
      <c r="L18" s="49" t="s">
        <v>381</v>
      </c>
      <c r="M18" s="49" t="s">
        <v>381</v>
      </c>
      <c r="N18" s="49" t="s">
        <v>381</v>
      </c>
      <c r="O18" s="49" t="s">
        <v>381</v>
      </c>
      <c r="P18" s="49" t="s">
        <v>381</v>
      </c>
      <c r="Q18" s="49" t="s">
        <v>381</v>
      </c>
      <c r="R18" s="30" t="str">
        <f t="shared" si="1"/>
        <v/>
      </c>
      <c r="S18" s="30" t="str">
        <f t="shared" si="2"/>
        <v/>
      </c>
      <c r="T18" s="30" t="str">
        <f t="shared" si="3"/>
        <v/>
      </c>
      <c r="U18" s="30" t="str">
        <f t="shared" si="4"/>
        <v/>
      </c>
      <c r="V18" s="30" t="str">
        <f t="shared" si="5"/>
        <v/>
      </c>
      <c r="W18" s="30" t="str">
        <f t="shared" si="6"/>
        <v/>
      </c>
      <c r="X18" s="30" t="str">
        <f t="shared" si="7"/>
        <v/>
      </c>
    </row>
    <row r="19" spans="1:24" ht="22.2" customHeight="1" x14ac:dyDescent="0.3">
      <c r="A19" s="51" t="str">
        <f>IF(ISNA(VLOOKUP(B19,Shortlist_xref!$A$5:$B$77,2,FALSE))=TRUE,"-",VLOOKUP(B19,Shortlist_xref!$A$5:$B$77,2,FALSE))</f>
        <v>EmissRed</v>
      </c>
      <c r="B19" s="109" t="s">
        <v>149</v>
      </c>
      <c r="C19" s="36" t="s">
        <v>150</v>
      </c>
      <c r="D19" s="36" t="s">
        <v>151</v>
      </c>
      <c r="E19" s="36" t="s">
        <v>12</v>
      </c>
      <c r="F19" s="9">
        <v>1579.5533525514004</v>
      </c>
      <c r="G19" s="9">
        <v>1110.4860581684954</v>
      </c>
      <c r="H19" s="9">
        <v>530.08262603281162</v>
      </c>
      <c r="I19" s="9">
        <v>437.61125891358722</v>
      </c>
      <c r="J19" s="9">
        <v>1000.5364083431718</v>
      </c>
      <c r="K19" s="9">
        <v>851.75303479366517</v>
      </c>
      <c r="L19" s="49" t="s">
        <v>381</v>
      </c>
      <c r="M19" s="49" t="s">
        <v>381</v>
      </c>
      <c r="N19" s="49" t="s">
        <v>381</v>
      </c>
      <c r="O19" s="49" t="s">
        <v>381</v>
      </c>
      <c r="P19" s="49" t="s">
        <v>381</v>
      </c>
      <c r="Q19" s="49" t="s">
        <v>381</v>
      </c>
      <c r="R19" s="30" t="str">
        <f t="shared" si="1"/>
        <v/>
      </c>
      <c r="S19" s="30" t="str">
        <f t="shared" si="2"/>
        <v/>
      </c>
      <c r="T19" s="30" t="str">
        <f t="shared" si="3"/>
        <v/>
      </c>
      <c r="U19" s="30" t="str">
        <f t="shared" si="4"/>
        <v/>
      </c>
      <c r="V19" s="30" t="str">
        <f t="shared" si="5"/>
        <v/>
      </c>
      <c r="W19" s="30" t="str">
        <f t="shared" si="6"/>
        <v/>
      </c>
      <c r="X19" s="30" t="str">
        <f t="shared" si="7"/>
        <v/>
      </c>
    </row>
    <row r="20" spans="1:24" ht="22.2" customHeight="1" x14ac:dyDescent="0.3">
      <c r="A20" s="51" t="str">
        <f>IF(ISNA(VLOOKUP(B20,Shortlist_xref!$A$5:$B$77,2,FALSE))=TRUE,"-",VLOOKUP(B20,Shortlist_xref!$A$5:$B$77,2,FALSE))</f>
        <v>EmissRed</v>
      </c>
      <c r="B20" s="109" t="s">
        <v>152</v>
      </c>
      <c r="C20" s="36" t="s">
        <v>153</v>
      </c>
      <c r="D20" s="36" t="s">
        <v>154</v>
      </c>
      <c r="E20" s="36" t="s">
        <v>12</v>
      </c>
      <c r="F20" s="9">
        <v>2713.2090063357214</v>
      </c>
      <c r="G20" s="9">
        <v>2197.1936160273435</v>
      </c>
      <c r="H20" s="9">
        <v>1134.9460563048412</v>
      </c>
      <c r="I20" s="9">
        <v>886.60443333610999</v>
      </c>
      <c r="J20" s="9">
        <v>1758.7534344381902</v>
      </c>
      <c r="K20" s="9">
        <v>1620.3883896362747</v>
      </c>
      <c r="L20" s="49" t="s">
        <v>381</v>
      </c>
      <c r="M20" s="49" t="s">
        <v>381</v>
      </c>
      <c r="N20" s="49" t="s">
        <v>381</v>
      </c>
      <c r="O20" s="49" t="s">
        <v>381</v>
      </c>
      <c r="P20" s="49" t="s">
        <v>381</v>
      </c>
      <c r="Q20" s="49" t="s">
        <v>381</v>
      </c>
      <c r="R20" s="30" t="str">
        <f t="shared" si="1"/>
        <v/>
      </c>
      <c r="S20" s="30" t="str">
        <f t="shared" si="2"/>
        <v/>
      </c>
      <c r="T20" s="30" t="str">
        <f t="shared" si="3"/>
        <v/>
      </c>
      <c r="U20" s="30" t="str">
        <f t="shared" si="4"/>
        <v/>
      </c>
      <c r="V20" s="30" t="str">
        <f t="shared" si="5"/>
        <v/>
      </c>
      <c r="W20" s="30" t="str">
        <f t="shared" si="6"/>
        <v/>
      </c>
      <c r="X20" s="30" t="str">
        <f t="shared" si="7"/>
        <v/>
      </c>
    </row>
    <row r="21" spans="1:24" ht="22.2" customHeight="1" x14ac:dyDescent="0.3">
      <c r="A21" s="51" t="str">
        <f>IF(ISNA(VLOOKUP(B21,Shortlist_xref!$A$5:$B$77,2,FALSE))=TRUE,"-",VLOOKUP(B21,Shortlist_xref!$A$5:$B$77,2,FALSE))</f>
        <v>EmissRed</v>
      </c>
      <c r="B21" s="109" t="s">
        <v>203</v>
      </c>
      <c r="C21" s="36" t="s">
        <v>214</v>
      </c>
      <c r="D21" s="36" t="s">
        <v>215</v>
      </c>
      <c r="E21" s="36" t="s">
        <v>12</v>
      </c>
      <c r="F21" s="9">
        <v>898.30161249859782</v>
      </c>
      <c r="G21" s="9">
        <v>752.9883818626181</v>
      </c>
      <c r="H21" s="9">
        <v>461.92694671101856</v>
      </c>
      <c r="I21" s="9">
        <v>346.45167414449924</v>
      </c>
      <c r="J21" s="9">
        <v>631.37648541769192</v>
      </c>
      <c r="K21" s="9">
        <v>549.79739001473627</v>
      </c>
      <c r="L21" s="49" t="s">
        <v>381</v>
      </c>
      <c r="M21" s="49" t="s">
        <v>381</v>
      </c>
      <c r="N21" s="49" t="s">
        <v>381</v>
      </c>
      <c r="O21" s="49" t="s">
        <v>381</v>
      </c>
      <c r="P21" s="49" t="s">
        <v>381</v>
      </c>
      <c r="Q21" s="49" t="s">
        <v>381</v>
      </c>
      <c r="R21" s="30" t="str">
        <f t="shared" si="1"/>
        <v/>
      </c>
      <c r="S21" s="30" t="str">
        <f t="shared" si="2"/>
        <v/>
      </c>
      <c r="T21" s="30" t="str">
        <f t="shared" si="3"/>
        <v/>
      </c>
      <c r="U21" s="30" t="str">
        <f t="shared" si="4"/>
        <v/>
      </c>
      <c r="V21" s="30" t="str">
        <f t="shared" si="5"/>
        <v/>
      </c>
      <c r="W21" s="30" t="str">
        <f t="shared" si="6"/>
        <v/>
      </c>
      <c r="X21" s="30" t="str">
        <f t="shared" si="7"/>
        <v/>
      </c>
    </row>
    <row r="22" spans="1:24" ht="22.2" customHeight="1" x14ac:dyDescent="0.3">
      <c r="A22" s="51" t="str">
        <f>IF(ISNA(VLOOKUP(B22,Shortlist_xref!$A$5:$B$77,2,FALSE))=TRUE,"-",VLOOKUP(B22,Shortlist_xref!$A$5:$B$77,2,FALSE))</f>
        <v>-</v>
      </c>
      <c r="B22" s="109" t="s">
        <v>655</v>
      </c>
      <c r="C22" s="36" t="s">
        <v>360</v>
      </c>
      <c r="D22" s="36" t="s">
        <v>656</v>
      </c>
      <c r="E22" s="36" t="s">
        <v>12</v>
      </c>
      <c r="F22" s="9">
        <v>62.659140299523514</v>
      </c>
      <c r="G22" s="9">
        <v>48.03367586007284</v>
      </c>
      <c r="H22" s="9">
        <v>23.776508281449686</v>
      </c>
      <c r="I22" s="9">
        <v>19.620117015251338</v>
      </c>
      <c r="J22" s="9">
        <v>39.959254555519557</v>
      </c>
      <c r="K22" s="9">
        <v>37.807102929567904</v>
      </c>
      <c r="L22" s="49" t="s">
        <v>381</v>
      </c>
      <c r="M22" s="49" t="s">
        <v>381</v>
      </c>
      <c r="N22" s="49" t="s">
        <v>381</v>
      </c>
      <c r="O22" s="49" t="s">
        <v>381</v>
      </c>
      <c r="P22" s="49" t="s">
        <v>381</v>
      </c>
      <c r="Q22" s="49" t="s">
        <v>381</v>
      </c>
      <c r="R22" s="30" t="str">
        <f t="shared" si="1"/>
        <v/>
      </c>
      <c r="S22" s="30" t="str">
        <f t="shared" si="2"/>
        <v/>
      </c>
      <c r="T22" s="30" t="str">
        <f t="shared" si="3"/>
        <v/>
      </c>
      <c r="U22" s="30" t="str">
        <f t="shared" si="4"/>
        <v/>
      </c>
      <c r="V22" s="30" t="str">
        <f t="shared" si="5"/>
        <v/>
      </c>
      <c r="W22" s="30" t="str">
        <f t="shared" si="6"/>
        <v/>
      </c>
      <c r="X22" s="30" t="str">
        <f t="shared" si="7"/>
        <v/>
      </c>
    </row>
    <row r="23" spans="1:24" ht="22.2" customHeight="1" x14ac:dyDescent="0.3">
      <c r="A23" s="51" t="str">
        <f>IF(ISNA(VLOOKUP(B23,Shortlist_xref!$A$5:$B$77,2,FALSE))=TRUE,"-",VLOOKUP(B23,Shortlist_xref!$A$5:$B$77,2,FALSE))</f>
        <v>-</v>
      </c>
      <c r="B23" s="109" t="s">
        <v>655</v>
      </c>
      <c r="C23" s="36" t="s">
        <v>360</v>
      </c>
      <c r="D23" s="36" t="s">
        <v>656</v>
      </c>
      <c r="E23" s="36" t="s">
        <v>53</v>
      </c>
      <c r="F23" s="9">
        <v>1.3925046550791753</v>
      </c>
      <c r="G23" s="9">
        <v>1.2007645139640903</v>
      </c>
      <c r="H23" s="9">
        <v>0.57893583417356564</v>
      </c>
      <c r="I23" s="9">
        <v>0.4639846307386884</v>
      </c>
      <c r="J23" s="9">
        <v>0.85569341065432514</v>
      </c>
      <c r="K23" s="9">
        <v>0.85684114942802014</v>
      </c>
      <c r="L23" s="49" t="s">
        <v>381</v>
      </c>
      <c r="M23" s="49" t="s">
        <v>381</v>
      </c>
      <c r="N23" s="49" t="s">
        <v>381</v>
      </c>
      <c r="O23" s="49" t="s">
        <v>381</v>
      </c>
      <c r="P23" s="49" t="s">
        <v>381</v>
      </c>
      <c r="Q23" s="49" t="s">
        <v>381</v>
      </c>
      <c r="R23" s="30" t="str">
        <f t="shared" si="1"/>
        <v/>
      </c>
      <c r="S23" s="30" t="str">
        <f t="shared" si="2"/>
        <v/>
      </c>
      <c r="T23" s="30" t="str">
        <f t="shared" si="3"/>
        <v/>
      </c>
      <c r="U23" s="30" t="str">
        <f t="shared" si="4"/>
        <v/>
      </c>
      <c r="V23" s="30" t="str">
        <f t="shared" si="5"/>
        <v/>
      </c>
      <c r="W23" s="30" t="str">
        <f t="shared" si="6"/>
        <v/>
      </c>
      <c r="X23" s="30" t="str">
        <f t="shared" si="7"/>
        <v/>
      </c>
    </row>
    <row r="24" spans="1:24" ht="22.2" customHeight="1" x14ac:dyDescent="0.3">
      <c r="A24" s="51" t="str">
        <f>IF(ISNA(VLOOKUP(B24,Shortlist_xref!$A$5:$B$77,2,FALSE))=TRUE,"-",VLOOKUP(B24,Shortlist_xref!$A$5:$B$77,2,FALSE))</f>
        <v>-</v>
      </c>
      <c r="B24" s="109" t="s">
        <v>657</v>
      </c>
      <c r="C24" s="36" t="s">
        <v>658</v>
      </c>
      <c r="D24" s="36" t="s">
        <v>659</v>
      </c>
      <c r="E24" s="36" t="s">
        <v>12</v>
      </c>
      <c r="F24" s="9">
        <v>56.393226269571173</v>
      </c>
      <c r="G24" s="9">
        <v>43.230308274065557</v>
      </c>
      <c r="H24" s="9">
        <v>21.398857453304721</v>
      </c>
      <c r="I24" s="9">
        <v>17.658105313726207</v>
      </c>
      <c r="J24" s="9">
        <v>35.963329099967602</v>
      </c>
      <c r="K24" s="9">
        <v>34.026392636611114</v>
      </c>
      <c r="L24" s="49" t="s">
        <v>381</v>
      </c>
      <c r="M24" s="49" t="s">
        <v>381</v>
      </c>
      <c r="N24" s="49" t="s">
        <v>381</v>
      </c>
      <c r="O24" s="49" t="s">
        <v>381</v>
      </c>
      <c r="P24" s="49" t="s">
        <v>381</v>
      </c>
      <c r="Q24" s="49" t="s">
        <v>381</v>
      </c>
      <c r="R24" s="30" t="str">
        <f t="shared" si="1"/>
        <v/>
      </c>
      <c r="S24" s="30" t="str">
        <f t="shared" si="2"/>
        <v/>
      </c>
      <c r="T24" s="30" t="str">
        <f t="shared" si="3"/>
        <v/>
      </c>
      <c r="U24" s="30" t="str">
        <f t="shared" si="4"/>
        <v/>
      </c>
      <c r="V24" s="30" t="str">
        <f t="shared" si="5"/>
        <v/>
      </c>
      <c r="W24" s="30" t="str">
        <f t="shared" si="6"/>
        <v/>
      </c>
      <c r="X24" s="30" t="str">
        <f t="shared" si="7"/>
        <v/>
      </c>
    </row>
    <row r="25" spans="1:24" ht="22.2" customHeight="1" x14ac:dyDescent="0.3">
      <c r="A25" s="51" t="str">
        <f>IF(ISNA(VLOOKUP(B25,Shortlist_xref!$A$5:$B$77,2,FALSE))=TRUE,"-",VLOOKUP(B25,Shortlist_xref!$A$5:$B$77,2,FALSE))</f>
        <v>-</v>
      </c>
      <c r="B25" s="109" t="s">
        <v>155</v>
      </c>
      <c r="C25" s="36" t="s">
        <v>661</v>
      </c>
      <c r="D25" s="36" t="s">
        <v>662</v>
      </c>
      <c r="E25" s="36" t="s">
        <v>12</v>
      </c>
      <c r="F25" s="9">
        <v>476.34304170999962</v>
      </c>
      <c r="G25" s="9">
        <v>304.34803360553082</v>
      </c>
      <c r="H25" s="9">
        <v>139.07580547953052</v>
      </c>
      <c r="I25" s="9">
        <v>60.53958752212651</v>
      </c>
      <c r="J25" s="9">
        <v>164.49479421898201</v>
      </c>
      <c r="K25" s="9">
        <v>183.05706414739052</v>
      </c>
      <c r="L25" s="49" t="s">
        <v>381</v>
      </c>
      <c r="M25" s="49" t="s">
        <v>381</v>
      </c>
      <c r="N25" s="49" t="s">
        <v>381</v>
      </c>
      <c r="O25" s="49" t="s">
        <v>381</v>
      </c>
      <c r="P25" s="49" t="s">
        <v>381</v>
      </c>
      <c r="Q25" s="49" t="s">
        <v>381</v>
      </c>
      <c r="R25" s="30" t="str">
        <f t="shared" si="1"/>
        <v/>
      </c>
      <c r="S25" s="30" t="str">
        <f t="shared" si="2"/>
        <v/>
      </c>
      <c r="T25" s="30" t="str">
        <f t="shared" si="3"/>
        <v/>
      </c>
      <c r="U25" s="30" t="str">
        <f t="shared" si="4"/>
        <v/>
      </c>
      <c r="V25" s="30" t="str">
        <f t="shared" si="5"/>
        <v/>
      </c>
      <c r="W25" s="30" t="str">
        <f t="shared" si="6"/>
        <v/>
      </c>
      <c r="X25" s="30" t="str">
        <f t="shared" si="7"/>
        <v/>
      </c>
    </row>
    <row r="26" spans="1:24" ht="22.2" customHeight="1" x14ac:dyDescent="0.3">
      <c r="A26" s="51" t="str">
        <f>IF(ISNA(VLOOKUP(B26,Shortlist_xref!$A$5:$B$77,2,FALSE))=TRUE,"-",VLOOKUP(B26,Shortlist_xref!$A$5:$B$77,2,FALSE))</f>
        <v>EmissRed</v>
      </c>
      <c r="B26" s="109" t="s">
        <v>156</v>
      </c>
      <c r="C26" s="36" t="s">
        <v>157</v>
      </c>
      <c r="D26" s="36" t="s">
        <v>158</v>
      </c>
      <c r="E26" s="36" t="s">
        <v>12</v>
      </c>
      <c r="F26" s="9">
        <v>647.47778309507635</v>
      </c>
      <c r="G26" s="9">
        <v>496.34798388741939</v>
      </c>
      <c r="H26" s="9">
        <v>245.69058557498008</v>
      </c>
      <c r="I26" s="9">
        <v>202.74120915759721</v>
      </c>
      <c r="J26" s="9">
        <v>412.91229707370206</v>
      </c>
      <c r="K26" s="9">
        <v>390.67339693886828</v>
      </c>
      <c r="L26" s="49" t="s">
        <v>381</v>
      </c>
      <c r="M26" s="49" t="s">
        <v>381</v>
      </c>
      <c r="N26" s="49" t="s">
        <v>381</v>
      </c>
      <c r="O26" s="49" t="s">
        <v>381</v>
      </c>
      <c r="P26" s="49" t="s">
        <v>381</v>
      </c>
      <c r="Q26" s="49" t="s">
        <v>381</v>
      </c>
      <c r="R26" s="30" t="str">
        <f t="shared" si="1"/>
        <v/>
      </c>
      <c r="S26" s="30" t="str">
        <f t="shared" si="2"/>
        <v/>
      </c>
      <c r="T26" s="30" t="str">
        <f t="shared" si="3"/>
        <v/>
      </c>
      <c r="U26" s="30" t="str">
        <f t="shared" si="4"/>
        <v/>
      </c>
      <c r="V26" s="30" t="str">
        <f t="shared" si="5"/>
        <v/>
      </c>
      <c r="W26" s="30" t="str">
        <f t="shared" si="6"/>
        <v/>
      </c>
      <c r="X26" s="30" t="str">
        <f t="shared" si="7"/>
        <v/>
      </c>
    </row>
    <row r="27" spans="1:24" ht="22.2" customHeight="1" x14ac:dyDescent="0.3">
      <c r="A27" s="51" t="str">
        <f>IF(ISNA(VLOOKUP(B27,Shortlist_xref!$A$5:$B$77,2,FALSE))=TRUE,"-",VLOOKUP(B27,Shortlist_xref!$A$5:$B$77,2,FALSE))</f>
        <v>EmissRed</v>
      </c>
      <c r="B27" s="109" t="s">
        <v>204</v>
      </c>
      <c r="C27" s="36" t="s">
        <v>216</v>
      </c>
      <c r="D27" s="36" t="s">
        <v>217</v>
      </c>
      <c r="E27" s="36" t="s">
        <v>12</v>
      </c>
      <c r="F27" s="9">
        <v>473.8660057654202</v>
      </c>
      <c r="G27" s="9">
        <v>333.14581745054863</v>
      </c>
      <c r="H27" s="9">
        <v>159.0247878098435</v>
      </c>
      <c r="I27" s="9">
        <v>131.28337767407618</v>
      </c>
      <c r="J27" s="9">
        <v>300.16092250295156</v>
      </c>
      <c r="K27" s="9">
        <v>255.52591043809954</v>
      </c>
      <c r="L27" s="49" t="s">
        <v>381</v>
      </c>
      <c r="M27" s="49" t="s">
        <v>381</v>
      </c>
      <c r="N27" s="49" t="s">
        <v>381</v>
      </c>
      <c r="O27" s="49" t="s">
        <v>381</v>
      </c>
      <c r="P27" s="49" t="s">
        <v>381</v>
      </c>
      <c r="Q27" s="49" t="s">
        <v>381</v>
      </c>
      <c r="R27" s="30" t="str">
        <f t="shared" si="1"/>
        <v/>
      </c>
      <c r="S27" s="30" t="str">
        <f t="shared" si="2"/>
        <v/>
      </c>
      <c r="T27" s="30" t="str">
        <f t="shared" si="3"/>
        <v/>
      </c>
      <c r="U27" s="30" t="str">
        <f t="shared" si="4"/>
        <v/>
      </c>
      <c r="V27" s="30" t="str">
        <f t="shared" si="5"/>
        <v/>
      </c>
      <c r="W27" s="30" t="str">
        <f t="shared" si="6"/>
        <v/>
      </c>
      <c r="X27" s="30" t="str">
        <f t="shared" si="7"/>
        <v/>
      </c>
    </row>
    <row r="28" spans="1:24" ht="22.2" customHeight="1" x14ac:dyDescent="0.3">
      <c r="A28" s="51" t="str">
        <f>IF(ISNA(VLOOKUP(B28,Shortlist_xref!$A$5:$B$77,2,FALSE))=TRUE,"-",VLOOKUP(B28,Shortlist_xref!$A$5:$B$77,2,FALSE))</f>
        <v>-</v>
      </c>
      <c r="B28" s="109" t="s">
        <v>673</v>
      </c>
      <c r="C28" s="36" t="s">
        <v>674</v>
      </c>
      <c r="D28" s="36" t="s">
        <v>675</v>
      </c>
      <c r="E28" s="36" t="s">
        <v>12</v>
      </c>
      <c r="F28" s="9">
        <v>5.2651778418380015</v>
      </c>
      <c r="G28" s="9">
        <v>3.7016201938949842</v>
      </c>
      <c r="H28" s="9">
        <v>1.7669420867760386</v>
      </c>
      <c r="I28" s="9">
        <v>1.458704196378624</v>
      </c>
      <c r="J28" s="9">
        <v>3.3351213611439059</v>
      </c>
      <c r="K28" s="9">
        <v>2.8391767826455503</v>
      </c>
      <c r="L28" s="49" t="s">
        <v>381</v>
      </c>
      <c r="M28" s="49" t="s">
        <v>381</v>
      </c>
      <c r="N28" s="49" t="s">
        <v>381</v>
      </c>
      <c r="O28" s="49" t="s">
        <v>381</v>
      </c>
      <c r="P28" s="49" t="s">
        <v>381</v>
      </c>
      <c r="Q28" s="49" t="s">
        <v>381</v>
      </c>
      <c r="R28" s="30" t="str">
        <f t="shared" si="1"/>
        <v/>
      </c>
      <c r="S28" s="30" t="str">
        <f t="shared" si="2"/>
        <v/>
      </c>
      <c r="T28" s="30" t="str">
        <f t="shared" si="3"/>
        <v/>
      </c>
      <c r="U28" s="30" t="str">
        <f t="shared" si="4"/>
        <v/>
      </c>
      <c r="V28" s="30" t="str">
        <f t="shared" si="5"/>
        <v/>
      </c>
      <c r="W28" s="30" t="str">
        <f t="shared" si="6"/>
        <v/>
      </c>
      <c r="X28" s="30" t="str">
        <f t="shared" si="7"/>
        <v/>
      </c>
    </row>
    <row r="29" spans="1:24" ht="22.2" customHeight="1" x14ac:dyDescent="0.3">
      <c r="A29" s="51" t="str">
        <f>IF(ISNA(VLOOKUP(B29,Shortlist_xref!$A$5:$B$77,2,FALSE))=TRUE,"-",VLOOKUP(B29,Shortlist_xref!$A$5:$B$77,2,FALSE))</f>
        <v>-</v>
      </c>
      <c r="B29" s="109" t="s">
        <v>678</v>
      </c>
      <c r="C29" s="36" t="s">
        <v>679</v>
      </c>
      <c r="D29" s="36" t="s">
        <v>680</v>
      </c>
      <c r="E29" s="36" t="s">
        <v>12</v>
      </c>
      <c r="F29" s="9" t="s">
        <v>37</v>
      </c>
      <c r="G29" s="9" t="s">
        <v>37</v>
      </c>
      <c r="H29" s="9" t="s">
        <v>37</v>
      </c>
      <c r="I29" s="9" t="s">
        <v>37</v>
      </c>
      <c r="J29" s="9" t="s">
        <v>37</v>
      </c>
      <c r="K29" s="9" t="s">
        <v>37</v>
      </c>
      <c r="L29" s="49" t="s">
        <v>381</v>
      </c>
      <c r="M29" s="49" t="s">
        <v>381</v>
      </c>
      <c r="N29" s="49" t="s">
        <v>381</v>
      </c>
      <c r="O29" s="49" t="s">
        <v>381</v>
      </c>
      <c r="P29" s="49" t="s">
        <v>381</v>
      </c>
      <c r="Q29" s="49" t="s">
        <v>381</v>
      </c>
      <c r="R29" s="30" t="str">
        <f t="shared" si="1"/>
        <v/>
      </c>
      <c r="S29" s="30" t="str">
        <f t="shared" si="2"/>
        <v/>
      </c>
      <c r="T29" s="30" t="str">
        <f t="shared" si="3"/>
        <v/>
      </c>
      <c r="U29" s="30" t="str">
        <f t="shared" si="4"/>
        <v/>
      </c>
      <c r="V29" s="30" t="str">
        <f t="shared" si="5"/>
        <v/>
      </c>
      <c r="W29" s="30" t="str">
        <f t="shared" si="6"/>
        <v/>
      </c>
      <c r="X29" s="30" t="str">
        <f t="shared" si="7"/>
        <v/>
      </c>
    </row>
    <row r="30" spans="1:24" ht="22.2" customHeight="1" x14ac:dyDescent="0.3">
      <c r="A30" s="51" t="str">
        <f>IF(ISNA(VLOOKUP(B30,Shortlist_xref!$A$5:$B$77,2,FALSE))=TRUE,"-",VLOOKUP(B30,Shortlist_xref!$A$5:$B$77,2,FALSE))</f>
        <v>-</v>
      </c>
      <c r="B30" s="109" t="s">
        <v>684</v>
      </c>
      <c r="C30" s="36" t="s">
        <v>685</v>
      </c>
      <c r="D30" s="36" t="s">
        <v>686</v>
      </c>
      <c r="E30" s="36" t="s">
        <v>12</v>
      </c>
      <c r="F30" s="9">
        <v>8.3521459885492497</v>
      </c>
      <c r="G30" s="9">
        <v>8.3700585421045002</v>
      </c>
      <c r="H30" s="9">
        <v>2.6436696106312501</v>
      </c>
      <c r="I30" s="9">
        <v>2.9605973140617499</v>
      </c>
      <c r="J30" s="9">
        <v>5.6543398251772512</v>
      </c>
      <c r="K30" s="9">
        <v>6.3449759719757504</v>
      </c>
      <c r="L30" s="49" t="s">
        <v>381</v>
      </c>
      <c r="M30" s="49" t="s">
        <v>381</v>
      </c>
      <c r="N30" s="49" t="s">
        <v>381</v>
      </c>
      <c r="O30" s="49" t="s">
        <v>381</v>
      </c>
      <c r="P30" s="49" t="s">
        <v>381</v>
      </c>
      <c r="Q30" s="49" t="s">
        <v>381</v>
      </c>
      <c r="R30" s="30" t="str">
        <f t="shared" si="1"/>
        <v/>
      </c>
      <c r="S30" s="30" t="str">
        <f t="shared" si="2"/>
        <v/>
      </c>
      <c r="T30" s="30" t="str">
        <f t="shared" si="3"/>
        <v/>
      </c>
      <c r="U30" s="30" t="str">
        <f t="shared" si="4"/>
        <v/>
      </c>
      <c r="V30" s="30" t="str">
        <f t="shared" si="5"/>
        <v/>
      </c>
      <c r="W30" s="30" t="str">
        <f t="shared" si="6"/>
        <v/>
      </c>
      <c r="X30" s="30" t="str">
        <f t="shared" si="7"/>
        <v/>
      </c>
    </row>
    <row r="31" spans="1:24" ht="22.2" customHeight="1" x14ac:dyDescent="0.3">
      <c r="A31" s="51" t="str">
        <f>IF(ISNA(VLOOKUP(B31,Shortlist_xref!$A$5:$B$77,2,FALSE))=TRUE,"-",VLOOKUP(B31,Shortlist_xref!$A$5:$B$77,2,FALSE))</f>
        <v>-</v>
      </c>
      <c r="B31" s="109" t="s">
        <v>691</v>
      </c>
      <c r="C31" s="36" t="s">
        <v>685</v>
      </c>
      <c r="D31" s="36" t="s">
        <v>692</v>
      </c>
      <c r="E31" s="36" t="s">
        <v>12</v>
      </c>
      <c r="F31" s="9" t="s">
        <v>37</v>
      </c>
      <c r="G31" s="9" t="s">
        <v>37</v>
      </c>
      <c r="H31" s="9" t="s">
        <v>37</v>
      </c>
      <c r="I31" s="9" t="s">
        <v>37</v>
      </c>
      <c r="J31" s="9" t="s">
        <v>37</v>
      </c>
      <c r="K31" s="9" t="s">
        <v>37</v>
      </c>
      <c r="L31" s="49" t="s">
        <v>381</v>
      </c>
      <c r="M31" s="49" t="s">
        <v>381</v>
      </c>
      <c r="N31" s="49" t="s">
        <v>381</v>
      </c>
      <c r="O31" s="49" t="s">
        <v>381</v>
      </c>
      <c r="P31" s="49" t="s">
        <v>381</v>
      </c>
      <c r="Q31" s="49" t="s">
        <v>381</v>
      </c>
      <c r="R31" s="30" t="str">
        <f t="shared" si="1"/>
        <v/>
      </c>
      <c r="S31" s="30" t="str">
        <f t="shared" si="2"/>
        <v/>
      </c>
      <c r="T31" s="30" t="str">
        <f t="shared" si="3"/>
        <v/>
      </c>
      <c r="U31" s="30" t="str">
        <f t="shared" si="4"/>
        <v/>
      </c>
      <c r="V31" s="30" t="str">
        <f t="shared" si="5"/>
        <v/>
      </c>
      <c r="W31" s="30" t="str">
        <f t="shared" si="6"/>
        <v/>
      </c>
      <c r="X31" s="30" t="str">
        <f t="shared" si="7"/>
        <v/>
      </c>
    </row>
    <row r="32" spans="1:24" ht="22.2" customHeight="1" x14ac:dyDescent="0.3">
      <c r="A32" s="51" t="str">
        <f>IF(ISNA(VLOOKUP(B32,Shortlist_xref!$A$5:$B$77,2,FALSE))=TRUE,"-",VLOOKUP(B32,Shortlist_xref!$A$5:$B$77,2,FALSE))</f>
        <v>-</v>
      </c>
      <c r="B32" s="109" t="s">
        <v>696</v>
      </c>
      <c r="C32" s="36" t="s">
        <v>685</v>
      </c>
      <c r="D32" s="36" t="s">
        <v>697</v>
      </c>
      <c r="E32" s="36" t="s">
        <v>12</v>
      </c>
      <c r="F32" s="9" t="s">
        <v>37</v>
      </c>
      <c r="G32" s="9" t="s">
        <v>37</v>
      </c>
      <c r="H32" s="9" t="s">
        <v>37</v>
      </c>
      <c r="I32" s="9" t="s">
        <v>37</v>
      </c>
      <c r="J32" s="9" t="s">
        <v>37</v>
      </c>
      <c r="K32" s="9" t="s">
        <v>37</v>
      </c>
      <c r="L32" s="49" t="s">
        <v>381</v>
      </c>
      <c r="M32" s="49" t="s">
        <v>381</v>
      </c>
      <c r="N32" s="49" t="s">
        <v>381</v>
      </c>
      <c r="O32" s="49" t="s">
        <v>381</v>
      </c>
      <c r="P32" s="49" t="s">
        <v>381</v>
      </c>
      <c r="Q32" s="49" t="s">
        <v>381</v>
      </c>
      <c r="R32" s="30" t="str">
        <f t="shared" si="1"/>
        <v/>
      </c>
      <c r="S32" s="30" t="str">
        <f t="shared" si="2"/>
        <v/>
      </c>
      <c r="T32" s="30" t="str">
        <f t="shared" si="3"/>
        <v/>
      </c>
      <c r="U32" s="30" t="str">
        <f t="shared" si="4"/>
        <v/>
      </c>
      <c r="V32" s="30" t="str">
        <f t="shared" si="5"/>
        <v/>
      </c>
      <c r="W32" s="30" t="str">
        <f t="shared" si="6"/>
        <v/>
      </c>
      <c r="X32" s="30" t="str">
        <f t="shared" si="7"/>
        <v/>
      </c>
    </row>
    <row r="33" spans="1:24" ht="22.2" customHeight="1" x14ac:dyDescent="0.3">
      <c r="A33" s="51" t="str">
        <f>IF(ISNA(VLOOKUP(B33,Shortlist_xref!$A$5:$B$77,2,FALSE))=TRUE,"-",VLOOKUP(B33,Shortlist_xref!$A$5:$B$77,2,FALSE))</f>
        <v>-</v>
      </c>
      <c r="B33" s="109" t="s">
        <v>698</v>
      </c>
      <c r="C33" s="36" t="s">
        <v>685</v>
      </c>
      <c r="D33" s="36" t="s">
        <v>699</v>
      </c>
      <c r="E33" s="36" t="s">
        <v>12</v>
      </c>
      <c r="F33" s="9">
        <v>33.408583954196999</v>
      </c>
      <c r="G33" s="9">
        <v>33.480234168418001</v>
      </c>
      <c r="H33" s="9">
        <v>10.574678442525</v>
      </c>
      <c r="I33" s="9">
        <v>11.842389256246999</v>
      </c>
      <c r="J33" s="9">
        <v>22.617359300709005</v>
      </c>
      <c r="K33" s="9">
        <v>25.379903887903001</v>
      </c>
      <c r="L33" s="49" t="s">
        <v>381</v>
      </c>
      <c r="M33" s="49" t="s">
        <v>381</v>
      </c>
      <c r="N33" s="49" t="s">
        <v>381</v>
      </c>
      <c r="O33" s="49" t="s">
        <v>381</v>
      </c>
      <c r="P33" s="49" t="s">
        <v>381</v>
      </c>
      <c r="Q33" s="49" t="s">
        <v>381</v>
      </c>
      <c r="R33" s="30" t="str">
        <f t="shared" si="1"/>
        <v/>
      </c>
      <c r="S33" s="30" t="str">
        <f t="shared" si="2"/>
        <v/>
      </c>
      <c r="T33" s="30" t="str">
        <f t="shared" si="3"/>
        <v/>
      </c>
      <c r="U33" s="30" t="str">
        <f t="shared" si="4"/>
        <v/>
      </c>
      <c r="V33" s="30" t="str">
        <f t="shared" si="5"/>
        <v/>
      </c>
      <c r="W33" s="30" t="str">
        <f t="shared" si="6"/>
        <v/>
      </c>
      <c r="X33" s="30" t="str">
        <f t="shared" si="7"/>
        <v/>
      </c>
    </row>
    <row r="34" spans="1:24" ht="22.2" customHeight="1" x14ac:dyDescent="0.3">
      <c r="A34" s="51" t="str">
        <f>IF(ISNA(VLOOKUP(B34,Shortlist_xref!$A$5:$B$77,2,FALSE))=TRUE,"-",VLOOKUP(B34,Shortlist_xref!$A$5:$B$77,2,FALSE))</f>
        <v>-</v>
      </c>
      <c r="B34" s="109" t="s">
        <v>702</v>
      </c>
      <c r="C34" s="36" t="s">
        <v>157</v>
      </c>
      <c r="D34" s="36" t="s">
        <v>703</v>
      </c>
      <c r="E34" s="36" t="s">
        <v>12</v>
      </c>
      <c r="F34" s="9">
        <v>62.659140299523514</v>
      </c>
      <c r="G34" s="9">
        <v>48.03367586007284</v>
      </c>
      <c r="H34" s="9">
        <v>23.776508281449686</v>
      </c>
      <c r="I34" s="9">
        <v>19.620117015251338</v>
      </c>
      <c r="J34" s="9">
        <v>39.959254555519557</v>
      </c>
      <c r="K34" s="9">
        <v>37.807102929567904</v>
      </c>
      <c r="L34" s="49" t="s">
        <v>381</v>
      </c>
      <c r="M34" s="49" t="s">
        <v>381</v>
      </c>
      <c r="N34" s="49" t="s">
        <v>381</v>
      </c>
      <c r="O34" s="49" t="s">
        <v>381</v>
      </c>
      <c r="P34" s="49" t="s">
        <v>381</v>
      </c>
      <c r="Q34" s="49" t="s">
        <v>381</v>
      </c>
      <c r="R34" s="30" t="str">
        <f t="shared" si="1"/>
        <v/>
      </c>
      <c r="S34" s="30" t="str">
        <f t="shared" si="2"/>
        <v/>
      </c>
      <c r="T34" s="30" t="str">
        <f t="shared" si="3"/>
        <v/>
      </c>
      <c r="U34" s="30" t="str">
        <f t="shared" si="4"/>
        <v/>
      </c>
      <c r="V34" s="30" t="str">
        <f t="shared" si="5"/>
        <v/>
      </c>
      <c r="W34" s="30" t="str">
        <f t="shared" si="6"/>
        <v/>
      </c>
      <c r="X34" s="30" t="str">
        <f t="shared" si="7"/>
        <v/>
      </c>
    </row>
    <row r="35" spans="1:24" ht="22.2" customHeight="1" x14ac:dyDescent="0.3">
      <c r="A35" s="51" t="str">
        <f>IF(ISNA(VLOOKUP(B35,Shortlist_xref!$A$5:$B$77,2,FALSE))=TRUE,"-",VLOOKUP(B35,Shortlist_xref!$A$5:$B$77,2,FALSE))</f>
        <v>-</v>
      </c>
      <c r="B35" s="109" t="s">
        <v>702</v>
      </c>
      <c r="C35" s="36" t="s">
        <v>157</v>
      </c>
      <c r="D35" s="36" t="s">
        <v>703</v>
      </c>
      <c r="E35" s="36" t="s">
        <v>53</v>
      </c>
      <c r="F35" s="9">
        <v>3.7133457468778013</v>
      </c>
      <c r="G35" s="9">
        <v>3.2020387039042415</v>
      </c>
      <c r="H35" s="9">
        <v>1.5438288911295084</v>
      </c>
      <c r="I35" s="9">
        <v>1.2372923486365026</v>
      </c>
      <c r="J35" s="9">
        <v>2.2818490950782002</v>
      </c>
      <c r="K35" s="9">
        <v>2.284909731808054</v>
      </c>
      <c r="L35" s="49" t="s">
        <v>381</v>
      </c>
      <c r="M35" s="49" t="s">
        <v>381</v>
      </c>
      <c r="N35" s="49" t="s">
        <v>381</v>
      </c>
      <c r="O35" s="49" t="s">
        <v>381</v>
      </c>
      <c r="P35" s="49" t="s">
        <v>381</v>
      </c>
      <c r="Q35" s="49" t="s">
        <v>381</v>
      </c>
      <c r="R35" s="30" t="str">
        <f t="shared" si="1"/>
        <v/>
      </c>
      <c r="S35" s="30" t="str">
        <f t="shared" si="2"/>
        <v/>
      </c>
      <c r="T35" s="30" t="str">
        <f t="shared" si="3"/>
        <v/>
      </c>
      <c r="U35" s="30" t="str">
        <f t="shared" si="4"/>
        <v/>
      </c>
      <c r="V35" s="30" t="str">
        <f t="shared" si="5"/>
        <v/>
      </c>
      <c r="W35" s="30" t="str">
        <f t="shared" si="6"/>
        <v/>
      </c>
      <c r="X35" s="30" t="str">
        <f t="shared" si="7"/>
        <v/>
      </c>
    </row>
    <row r="36" spans="1:24" ht="22.2" customHeight="1" x14ac:dyDescent="0.3">
      <c r="A36" s="51" t="str">
        <f>IF(ISNA(VLOOKUP(B36,Shortlist_xref!$A$5:$B$77,2,FALSE))=TRUE,"-",VLOOKUP(B36,Shortlist_xref!$A$5:$B$77,2,FALSE))</f>
        <v>-</v>
      </c>
      <c r="B36" s="109" t="s">
        <v>709</v>
      </c>
      <c r="C36" s="36" t="s">
        <v>710</v>
      </c>
      <c r="D36" s="36" t="s">
        <v>711</v>
      </c>
      <c r="E36" s="36" t="s">
        <v>12</v>
      </c>
      <c r="F36" s="9" t="s">
        <v>37</v>
      </c>
      <c r="G36" s="9" t="s">
        <v>37</v>
      </c>
      <c r="H36" s="9" t="s">
        <v>37</v>
      </c>
      <c r="I36" s="9" t="s">
        <v>37</v>
      </c>
      <c r="J36" s="9" t="s">
        <v>37</v>
      </c>
      <c r="K36" s="9" t="s">
        <v>37</v>
      </c>
      <c r="L36" s="49" t="s">
        <v>381</v>
      </c>
      <c r="M36" s="49" t="s">
        <v>381</v>
      </c>
      <c r="N36" s="49" t="s">
        <v>381</v>
      </c>
      <c r="O36" s="49" t="s">
        <v>381</v>
      </c>
      <c r="P36" s="49" t="s">
        <v>381</v>
      </c>
      <c r="Q36" s="49" t="s">
        <v>381</v>
      </c>
      <c r="R36" s="30" t="str">
        <f t="shared" si="1"/>
        <v/>
      </c>
      <c r="S36" s="30" t="str">
        <f t="shared" si="2"/>
        <v/>
      </c>
      <c r="T36" s="30" t="str">
        <f t="shared" si="3"/>
        <v/>
      </c>
      <c r="U36" s="30" t="str">
        <f t="shared" si="4"/>
        <v/>
      </c>
      <c r="V36" s="30" t="str">
        <f t="shared" si="5"/>
        <v/>
      </c>
      <c r="W36" s="30" t="str">
        <f t="shared" si="6"/>
        <v/>
      </c>
      <c r="X36" s="30" t="str">
        <f t="shared" si="7"/>
        <v/>
      </c>
    </row>
    <row r="37" spans="1:24" ht="22.2" customHeight="1" x14ac:dyDescent="0.3">
      <c r="A37" s="51" t="str">
        <f>IF(ISNA(VLOOKUP(B37,Shortlist_xref!$A$5:$B$77,2,FALSE))=TRUE,"-",VLOOKUP(B37,Shortlist_xref!$A$5:$B$77,2,FALSE))</f>
        <v>-</v>
      </c>
      <c r="B37" s="109" t="s">
        <v>709</v>
      </c>
      <c r="C37" s="36" t="s">
        <v>710</v>
      </c>
      <c r="D37" s="36" t="s">
        <v>711</v>
      </c>
      <c r="E37" s="36" t="s">
        <v>53</v>
      </c>
      <c r="F37" s="9" t="s">
        <v>37</v>
      </c>
      <c r="G37" s="9" t="s">
        <v>37</v>
      </c>
      <c r="H37" s="9" t="s">
        <v>37</v>
      </c>
      <c r="I37" s="9" t="s">
        <v>37</v>
      </c>
      <c r="J37" s="9" t="s">
        <v>37</v>
      </c>
      <c r="K37" s="9" t="s">
        <v>37</v>
      </c>
      <c r="L37" s="49" t="s">
        <v>381</v>
      </c>
      <c r="M37" s="49" t="s">
        <v>381</v>
      </c>
      <c r="N37" s="49" t="s">
        <v>381</v>
      </c>
      <c r="O37" s="49" t="s">
        <v>381</v>
      </c>
      <c r="P37" s="49" t="s">
        <v>381</v>
      </c>
      <c r="Q37" s="49" t="s">
        <v>381</v>
      </c>
      <c r="R37" s="30" t="str">
        <f t="shared" si="1"/>
        <v/>
      </c>
      <c r="S37" s="30" t="str">
        <f t="shared" si="2"/>
        <v/>
      </c>
      <c r="T37" s="30" t="str">
        <f t="shared" si="3"/>
        <v/>
      </c>
      <c r="U37" s="30" t="str">
        <f t="shared" si="4"/>
        <v/>
      </c>
      <c r="V37" s="30" t="str">
        <f t="shared" si="5"/>
        <v/>
      </c>
      <c r="W37" s="30" t="str">
        <f t="shared" si="6"/>
        <v/>
      </c>
      <c r="X37" s="30" t="str">
        <f t="shared" si="7"/>
        <v/>
      </c>
    </row>
    <row r="38" spans="1:24" ht="22.2" customHeight="1" x14ac:dyDescent="0.3">
      <c r="A38" s="51" t="str">
        <f>IF(ISNA(VLOOKUP(B38,Shortlist_xref!$A$5:$B$77,2,FALSE))=TRUE,"-",VLOOKUP(B38,Shortlist_xref!$A$5:$B$77,2,FALSE))</f>
        <v>-</v>
      </c>
      <c r="B38" s="109" t="s">
        <v>716</v>
      </c>
      <c r="C38" s="36" t="s">
        <v>717</v>
      </c>
      <c r="D38" s="36" t="s">
        <v>718</v>
      </c>
      <c r="E38" s="36" t="s">
        <v>12</v>
      </c>
      <c r="F38" s="9">
        <v>18.010098179649003</v>
      </c>
      <c r="G38" s="9">
        <v>10.018759014450001</v>
      </c>
      <c r="H38" s="9">
        <v>29.514806153666999</v>
      </c>
      <c r="I38" s="9">
        <v>11.402661764646002</v>
      </c>
      <c r="J38" s="9">
        <v>6.6624907349610005</v>
      </c>
      <c r="K38" s="9">
        <v>4.3160439995190005</v>
      </c>
      <c r="L38" s="49" t="s">
        <v>381</v>
      </c>
      <c r="M38" s="49" t="s">
        <v>381</v>
      </c>
      <c r="N38" s="49" t="s">
        <v>381</v>
      </c>
      <c r="O38" s="49" t="s">
        <v>381</v>
      </c>
      <c r="P38" s="49" t="s">
        <v>381</v>
      </c>
      <c r="Q38" s="49" t="s">
        <v>381</v>
      </c>
      <c r="R38" s="30" t="str">
        <f t="shared" si="1"/>
        <v/>
      </c>
      <c r="S38" s="30" t="str">
        <f t="shared" si="2"/>
        <v/>
      </c>
      <c r="T38" s="30" t="str">
        <f t="shared" si="3"/>
        <v/>
      </c>
      <c r="U38" s="30" t="str">
        <f t="shared" si="4"/>
        <v/>
      </c>
      <c r="V38" s="30" t="str">
        <f t="shared" si="5"/>
        <v/>
      </c>
      <c r="W38" s="30" t="str">
        <f t="shared" si="6"/>
        <v/>
      </c>
      <c r="X38" s="30" t="str">
        <f t="shared" si="7"/>
        <v/>
      </c>
    </row>
    <row r="39" spans="1:24" ht="22.2" customHeight="1" x14ac:dyDescent="0.3">
      <c r="A39" s="51" t="str">
        <f>IF(ISNA(VLOOKUP(B39,Shortlist_xref!$A$5:$B$77,2,FALSE))=TRUE,"-",VLOOKUP(B39,Shortlist_xref!$A$5:$B$77,2,FALSE))</f>
        <v>-</v>
      </c>
      <c r="B39" s="109" t="s">
        <v>723</v>
      </c>
      <c r="C39" s="36" t="s">
        <v>724</v>
      </c>
      <c r="D39" s="36" t="s">
        <v>725</v>
      </c>
      <c r="E39" s="36" t="s">
        <v>12</v>
      </c>
      <c r="F39" s="9">
        <v>20.183416916460185</v>
      </c>
      <c r="G39" s="9">
        <v>6.4073232693131681</v>
      </c>
      <c r="H39" s="9">
        <v>7.1447640188426211</v>
      </c>
      <c r="I39" s="9">
        <v>12.465353929894231</v>
      </c>
      <c r="J39" s="9">
        <v>7.3368791649108553</v>
      </c>
      <c r="K39" s="9">
        <v>8.4238798533120018</v>
      </c>
      <c r="L39" s="49" t="s">
        <v>381</v>
      </c>
      <c r="M39" s="49" t="s">
        <v>381</v>
      </c>
      <c r="N39" s="49" t="s">
        <v>381</v>
      </c>
      <c r="O39" s="49" t="s">
        <v>381</v>
      </c>
      <c r="P39" s="49" t="s">
        <v>381</v>
      </c>
      <c r="Q39" s="49" t="s">
        <v>381</v>
      </c>
      <c r="R39" s="30" t="str">
        <f t="shared" si="1"/>
        <v/>
      </c>
      <c r="S39" s="30" t="str">
        <f t="shared" si="2"/>
        <v/>
      </c>
      <c r="T39" s="30" t="str">
        <f t="shared" si="3"/>
        <v/>
      </c>
      <c r="U39" s="30" t="str">
        <f t="shared" si="4"/>
        <v/>
      </c>
      <c r="V39" s="30" t="str">
        <f t="shared" si="5"/>
        <v/>
      </c>
      <c r="W39" s="30" t="str">
        <f t="shared" si="6"/>
        <v/>
      </c>
      <c r="X39" s="30" t="str">
        <f t="shared" si="7"/>
        <v/>
      </c>
    </row>
    <row r="40" spans="1:24" ht="22.2" customHeight="1" x14ac:dyDescent="0.3">
      <c r="A40" s="51" t="str">
        <f>IF(ISNA(VLOOKUP(B40,Shortlist_xref!$A$5:$B$77,2,FALSE))=TRUE,"-",VLOOKUP(B40,Shortlist_xref!$A$5:$B$77,2,FALSE))</f>
        <v>CE</v>
      </c>
      <c r="B40" s="109" t="s">
        <v>205</v>
      </c>
      <c r="C40" s="36" t="s">
        <v>218</v>
      </c>
      <c r="D40" s="36" t="s">
        <v>219</v>
      </c>
      <c r="E40" s="36" t="s">
        <v>12</v>
      </c>
      <c r="F40" s="9" t="s">
        <v>37</v>
      </c>
      <c r="G40" s="9" t="s">
        <v>37</v>
      </c>
      <c r="H40" s="9" t="s">
        <v>37</v>
      </c>
      <c r="I40" s="9" t="s">
        <v>37</v>
      </c>
      <c r="J40" s="9" t="s">
        <v>37</v>
      </c>
      <c r="K40" s="9" t="s">
        <v>37</v>
      </c>
      <c r="L40" s="49" t="s">
        <v>381</v>
      </c>
      <c r="M40" s="49" t="s">
        <v>381</v>
      </c>
      <c r="N40" s="49" t="s">
        <v>381</v>
      </c>
      <c r="O40" s="49" t="s">
        <v>381</v>
      </c>
      <c r="P40" s="49" t="s">
        <v>381</v>
      </c>
      <c r="Q40" s="49" t="s">
        <v>381</v>
      </c>
      <c r="R40" s="30" t="str">
        <f t="shared" si="1"/>
        <v/>
      </c>
      <c r="S40" s="30" t="str">
        <f t="shared" si="2"/>
        <v/>
      </c>
      <c r="T40" s="30" t="str">
        <f t="shared" si="3"/>
        <v/>
      </c>
      <c r="U40" s="30" t="str">
        <f t="shared" si="4"/>
        <v/>
      </c>
      <c r="V40" s="30" t="str">
        <f t="shared" si="5"/>
        <v/>
      </c>
      <c r="W40" s="30" t="str">
        <f t="shared" si="6"/>
        <v/>
      </c>
      <c r="X40" s="30" t="str">
        <f t="shared" si="7"/>
        <v/>
      </c>
    </row>
    <row r="41" spans="1:24" ht="22.2" customHeight="1" x14ac:dyDescent="0.3">
      <c r="A41" s="51" t="str">
        <f>IF(ISNA(VLOOKUP(B41,Shortlist_xref!$A$5:$B$77,2,FALSE))=TRUE,"-",VLOOKUP(B41,Shortlist_xref!$A$5:$B$77,2,FALSE))</f>
        <v>CE</v>
      </c>
      <c r="B41" s="109" t="s">
        <v>205</v>
      </c>
      <c r="C41" s="36" t="s">
        <v>218</v>
      </c>
      <c r="D41" s="36" t="s">
        <v>219</v>
      </c>
      <c r="E41" s="36" t="s">
        <v>53</v>
      </c>
      <c r="F41" s="9" t="s">
        <v>37</v>
      </c>
      <c r="G41" s="9" t="s">
        <v>37</v>
      </c>
      <c r="H41" s="9" t="s">
        <v>37</v>
      </c>
      <c r="I41" s="9" t="s">
        <v>37</v>
      </c>
      <c r="J41" s="9" t="s">
        <v>37</v>
      </c>
      <c r="K41" s="9" t="s">
        <v>37</v>
      </c>
      <c r="L41" s="49" t="s">
        <v>381</v>
      </c>
      <c r="M41" s="49" t="s">
        <v>381</v>
      </c>
      <c r="N41" s="49" t="s">
        <v>381</v>
      </c>
      <c r="O41" s="49" t="s">
        <v>381</v>
      </c>
      <c r="P41" s="49" t="s">
        <v>381</v>
      </c>
      <c r="Q41" s="49" t="s">
        <v>381</v>
      </c>
      <c r="R41" s="30" t="str">
        <f t="shared" si="1"/>
        <v/>
      </c>
      <c r="S41" s="30" t="str">
        <f t="shared" si="2"/>
        <v/>
      </c>
      <c r="T41" s="30" t="str">
        <f t="shared" si="3"/>
        <v/>
      </c>
      <c r="U41" s="30" t="str">
        <f t="shared" si="4"/>
        <v/>
      </c>
      <c r="V41" s="30" t="str">
        <f t="shared" si="5"/>
        <v/>
      </c>
      <c r="W41" s="30" t="str">
        <f t="shared" si="6"/>
        <v/>
      </c>
      <c r="X41" s="30" t="str">
        <f t="shared" si="7"/>
        <v/>
      </c>
    </row>
    <row r="42" spans="1:24" ht="22.2" customHeight="1" x14ac:dyDescent="0.3">
      <c r="A42" s="51" t="str">
        <f>IF(ISNA(VLOOKUP(B42,Shortlist_xref!$A$5:$B$77,2,FALSE))=TRUE,"-",VLOOKUP(B42,Shortlist_xref!$A$5:$B$77,2,FALSE))</f>
        <v>-</v>
      </c>
      <c r="B42" s="109" t="s">
        <v>734</v>
      </c>
      <c r="C42" s="36" t="s">
        <v>735</v>
      </c>
      <c r="D42" s="36" t="s">
        <v>736</v>
      </c>
      <c r="E42" s="36" t="s">
        <v>12</v>
      </c>
      <c r="F42" s="9" t="s">
        <v>37</v>
      </c>
      <c r="G42" s="9" t="s">
        <v>37</v>
      </c>
      <c r="H42" s="9" t="s">
        <v>37</v>
      </c>
      <c r="I42" s="9" t="s">
        <v>37</v>
      </c>
      <c r="J42" s="9" t="s">
        <v>37</v>
      </c>
      <c r="K42" s="9" t="s">
        <v>37</v>
      </c>
      <c r="L42" s="49" t="s">
        <v>381</v>
      </c>
      <c r="M42" s="49" t="s">
        <v>381</v>
      </c>
      <c r="N42" s="49" t="s">
        <v>381</v>
      </c>
      <c r="O42" s="49" t="s">
        <v>381</v>
      </c>
      <c r="P42" s="49" t="s">
        <v>381</v>
      </c>
      <c r="Q42" s="49" t="s">
        <v>381</v>
      </c>
      <c r="R42" s="30" t="str">
        <f t="shared" si="1"/>
        <v/>
      </c>
      <c r="S42" s="30" t="str">
        <f t="shared" si="2"/>
        <v/>
      </c>
      <c r="T42" s="30" t="str">
        <f t="shared" si="3"/>
        <v/>
      </c>
      <c r="U42" s="30" t="str">
        <f t="shared" si="4"/>
        <v/>
      </c>
      <c r="V42" s="30" t="str">
        <f t="shared" si="5"/>
        <v/>
      </c>
      <c r="W42" s="30" t="str">
        <f t="shared" si="6"/>
        <v/>
      </c>
      <c r="X42" s="30" t="str">
        <f t="shared" si="7"/>
        <v/>
      </c>
    </row>
    <row r="43" spans="1:24" x14ac:dyDescent="0.3">
      <c r="A43" s="46" t="s">
        <v>159</v>
      </c>
      <c r="B43" s="110"/>
      <c r="C43" s="53"/>
      <c r="D43" s="53"/>
      <c r="E43" s="53"/>
      <c r="F43" s="54"/>
      <c r="G43" s="54"/>
      <c r="H43" s="54"/>
      <c r="I43" s="54"/>
      <c r="J43" s="54"/>
      <c r="K43" s="54"/>
      <c r="L43" s="39"/>
      <c r="M43" s="39"/>
      <c r="N43" s="39"/>
      <c r="O43" s="39"/>
      <c r="P43" s="39"/>
      <c r="Q43" s="39"/>
      <c r="R43" s="30" t="str">
        <f t="shared" si="1"/>
        <v/>
      </c>
      <c r="S43" s="30" t="str">
        <f t="shared" si="2"/>
        <v/>
      </c>
      <c r="T43" s="30" t="str">
        <f t="shared" si="3"/>
        <v/>
      </c>
      <c r="U43" s="30" t="str">
        <f t="shared" si="4"/>
        <v/>
      </c>
      <c r="V43" s="30" t="str">
        <f t="shared" si="5"/>
        <v/>
      </c>
      <c r="W43" s="30" t="str">
        <f t="shared" si="6"/>
        <v/>
      </c>
      <c r="X43" s="30" t="str">
        <f t="shared" si="7"/>
        <v/>
      </c>
    </row>
    <row r="44" spans="1:24" ht="22.2" customHeight="1" x14ac:dyDescent="0.3">
      <c r="A44" s="51" t="str">
        <f>IF(ISNA(VLOOKUP(B44,Shortlist_xref!$A$5:$B$77,2,FALSE))=TRUE,"-",VLOOKUP(B44,Shortlist_xref!$A$5:$B$77,2,FALSE))</f>
        <v>R-Select</v>
      </c>
      <c r="B44" s="109" t="s">
        <v>160</v>
      </c>
      <c r="C44" s="36" t="s">
        <v>161</v>
      </c>
      <c r="D44" s="36" t="s">
        <v>162</v>
      </c>
      <c r="E44" s="36" t="s">
        <v>12</v>
      </c>
      <c r="F44" s="9">
        <v>32.110343393390728</v>
      </c>
      <c r="G44" s="9">
        <v>25.006210729749018</v>
      </c>
      <c r="H44" s="9">
        <v>12.951534379728059</v>
      </c>
      <c r="I44" s="9">
        <v>27.216999566395351</v>
      </c>
      <c r="J44" s="9">
        <v>24.268861384739239</v>
      </c>
      <c r="K44" s="9">
        <v>11.700175404330045</v>
      </c>
      <c r="L44" s="49" t="s">
        <v>381</v>
      </c>
      <c r="M44" s="49" t="s">
        <v>381</v>
      </c>
      <c r="N44" s="49" t="s">
        <v>381</v>
      </c>
      <c r="O44" s="49" t="s">
        <v>381</v>
      </c>
      <c r="P44" s="49" t="s">
        <v>381</v>
      </c>
      <c r="Q44" s="49" t="s">
        <v>381</v>
      </c>
      <c r="R44" s="30" t="str">
        <f t="shared" si="1"/>
        <v/>
      </c>
      <c r="S44" s="30" t="str">
        <f t="shared" si="2"/>
        <v/>
      </c>
      <c r="T44" s="30" t="str">
        <f t="shared" si="3"/>
        <v/>
      </c>
      <c r="U44" s="30" t="str">
        <f t="shared" si="4"/>
        <v/>
      </c>
      <c r="V44" s="30" t="str">
        <f t="shared" si="5"/>
        <v/>
      </c>
      <c r="W44" s="30" t="str">
        <f t="shared" si="6"/>
        <v/>
      </c>
      <c r="X44" s="30" t="str">
        <f t="shared" si="7"/>
        <v/>
      </c>
    </row>
    <row r="45" spans="1:24" ht="22.2" customHeight="1" x14ac:dyDescent="0.3">
      <c r="A45" s="51" t="str">
        <f>IF(ISNA(VLOOKUP(B45,Shortlist_xref!$A$5:$B$77,2,FALSE))=TRUE,"-",VLOOKUP(B45,Shortlist_xref!$A$5:$B$77,2,FALSE))</f>
        <v>-</v>
      </c>
      <c r="B45" s="109" t="s">
        <v>741</v>
      </c>
      <c r="C45" s="36" t="s">
        <v>161</v>
      </c>
      <c r="D45" s="36" t="s">
        <v>742</v>
      </c>
      <c r="E45" s="36" t="s">
        <v>12</v>
      </c>
      <c r="F45" s="9">
        <v>32.110343393390728</v>
      </c>
      <c r="G45" s="9">
        <v>25.006210729749018</v>
      </c>
      <c r="H45" s="9">
        <v>12.951534379728059</v>
      </c>
      <c r="I45" s="9">
        <v>27.216999566395351</v>
      </c>
      <c r="J45" s="9">
        <v>24.268861384739239</v>
      </c>
      <c r="K45" s="9">
        <v>11.700175404330045</v>
      </c>
      <c r="L45" s="49" t="s">
        <v>381</v>
      </c>
      <c r="M45" s="49" t="s">
        <v>381</v>
      </c>
      <c r="N45" s="49" t="s">
        <v>381</v>
      </c>
      <c r="O45" s="49" t="s">
        <v>381</v>
      </c>
      <c r="P45" s="49" t="s">
        <v>381</v>
      </c>
      <c r="Q45" s="49" t="s">
        <v>381</v>
      </c>
      <c r="R45" s="30" t="str">
        <f t="shared" si="1"/>
        <v/>
      </c>
      <c r="S45" s="30" t="str">
        <f t="shared" si="2"/>
        <v/>
      </c>
      <c r="T45" s="30" t="str">
        <f t="shared" si="3"/>
        <v/>
      </c>
      <c r="U45" s="30" t="str">
        <f t="shared" si="4"/>
        <v/>
      </c>
      <c r="V45" s="30" t="str">
        <f t="shared" si="5"/>
        <v/>
      </c>
      <c r="W45" s="30" t="str">
        <f t="shared" si="6"/>
        <v/>
      </c>
      <c r="X45" s="30" t="str">
        <f t="shared" si="7"/>
        <v/>
      </c>
    </row>
    <row r="46" spans="1:24" ht="22.2" customHeight="1" x14ac:dyDescent="0.3">
      <c r="A46" s="51" t="str">
        <f>IF(ISNA(VLOOKUP(B46,Shortlist_xref!$A$5:$B$77,2,FALSE))=TRUE,"-",VLOOKUP(B46,Shortlist_xref!$A$5:$B$77,2,FALSE))</f>
        <v>-</v>
      </c>
      <c r="B46" s="109" t="s">
        <v>745</v>
      </c>
      <c r="C46" s="36" t="s">
        <v>161</v>
      </c>
      <c r="D46" s="36" t="s">
        <v>746</v>
      </c>
      <c r="E46" s="36" t="s">
        <v>12</v>
      </c>
      <c r="F46" s="9">
        <v>114.55581967371829</v>
      </c>
      <c r="G46" s="9">
        <v>89.211346387212728</v>
      </c>
      <c r="H46" s="9">
        <v>46.205474003354162</v>
      </c>
      <c r="I46" s="9">
        <v>97.098484939572614</v>
      </c>
      <c r="J46" s="9">
        <v>86.580802777988652</v>
      </c>
      <c r="K46" s="9">
        <v>41.741166307339626</v>
      </c>
      <c r="L46" s="49" t="s">
        <v>381</v>
      </c>
      <c r="M46" s="49" t="s">
        <v>381</v>
      </c>
      <c r="N46" s="49" t="s">
        <v>381</v>
      </c>
      <c r="O46" s="49" t="s">
        <v>381</v>
      </c>
      <c r="P46" s="49" t="s">
        <v>381</v>
      </c>
      <c r="Q46" s="49" t="s">
        <v>381</v>
      </c>
      <c r="R46" s="30" t="str">
        <f t="shared" si="1"/>
        <v/>
      </c>
      <c r="S46" s="30" t="str">
        <f t="shared" si="2"/>
        <v/>
      </c>
      <c r="T46" s="30" t="str">
        <f t="shared" si="3"/>
        <v/>
      </c>
      <c r="U46" s="30" t="str">
        <f t="shared" si="4"/>
        <v/>
      </c>
      <c r="V46" s="30" t="str">
        <f t="shared" si="5"/>
        <v/>
      </c>
      <c r="W46" s="30" t="str">
        <f t="shared" si="6"/>
        <v/>
      </c>
      <c r="X46" s="30" t="str">
        <f t="shared" si="7"/>
        <v/>
      </c>
    </row>
    <row r="47" spans="1:24" ht="22.2" customHeight="1" x14ac:dyDescent="0.3">
      <c r="A47" s="51" t="str">
        <f>IF(ISNA(VLOOKUP(B47,Shortlist_xref!$A$5:$B$77,2,FALSE))=TRUE,"-",VLOOKUP(B47,Shortlist_xref!$A$5:$B$77,2,FALSE))</f>
        <v>-</v>
      </c>
      <c r="B47" s="109" t="s">
        <v>752</v>
      </c>
      <c r="C47" s="36" t="s">
        <v>753</v>
      </c>
      <c r="D47" s="36" t="s">
        <v>754</v>
      </c>
      <c r="E47" s="36" t="s">
        <v>12</v>
      </c>
      <c r="F47" s="9">
        <v>28.065054284083587</v>
      </c>
      <c r="G47" s="9">
        <v>13.781125075876448</v>
      </c>
      <c r="H47" s="9">
        <v>16.391541075205261</v>
      </c>
      <c r="I47" s="9">
        <v>11.172465756012784</v>
      </c>
      <c r="J47" s="9">
        <v>24.293622842495729</v>
      </c>
      <c r="K47" s="9">
        <v>10.632326506414666</v>
      </c>
      <c r="L47" s="49" t="s">
        <v>381</v>
      </c>
      <c r="M47" s="49" t="s">
        <v>381</v>
      </c>
      <c r="N47" s="49" t="s">
        <v>381</v>
      </c>
      <c r="O47" s="49" t="s">
        <v>381</v>
      </c>
      <c r="P47" s="49" t="s">
        <v>381</v>
      </c>
      <c r="Q47" s="49" t="s">
        <v>381</v>
      </c>
      <c r="R47" s="30" t="str">
        <f t="shared" si="1"/>
        <v/>
      </c>
      <c r="S47" s="30" t="str">
        <f t="shared" si="2"/>
        <v/>
      </c>
      <c r="T47" s="30" t="str">
        <f t="shared" si="3"/>
        <v/>
      </c>
      <c r="U47" s="30" t="str">
        <f t="shared" si="4"/>
        <v/>
      </c>
      <c r="V47" s="30" t="str">
        <f t="shared" si="5"/>
        <v/>
      </c>
      <c r="W47" s="30" t="str">
        <f t="shared" si="6"/>
        <v/>
      </c>
      <c r="X47" s="30" t="str">
        <f t="shared" si="7"/>
        <v/>
      </c>
    </row>
    <row r="48" spans="1:24" ht="22.2" customHeight="1" x14ac:dyDescent="0.3">
      <c r="A48" s="51" t="str">
        <f>IF(ISNA(VLOOKUP(B48,Shortlist_xref!$A$5:$B$77,2,FALSE))=TRUE,"-",VLOOKUP(B48,Shortlist_xref!$A$5:$B$77,2,FALSE))</f>
        <v>-</v>
      </c>
      <c r="B48" s="109" t="s">
        <v>752</v>
      </c>
      <c r="C48" s="36" t="s">
        <v>753</v>
      </c>
      <c r="D48" s="36" t="s">
        <v>754</v>
      </c>
      <c r="E48" s="36" t="s">
        <v>53</v>
      </c>
      <c r="F48" s="9">
        <v>146.77162126586799</v>
      </c>
      <c r="G48" s="9">
        <v>76.944482836424996</v>
      </c>
      <c r="H48" s="9">
        <v>87.864994274932016</v>
      </c>
      <c r="I48" s="9">
        <v>61.565795677468003</v>
      </c>
      <c r="J48" s="9">
        <v>133.75706226828001</v>
      </c>
      <c r="K48" s="9">
        <v>57.038326399029991</v>
      </c>
      <c r="L48" s="49" t="s">
        <v>381</v>
      </c>
      <c r="M48" s="49" t="s">
        <v>381</v>
      </c>
      <c r="N48" s="49" t="s">
        <v>381</v>
      </c>
      <c r="O48" s="49" t="s">
        <v>381</v>
      </c>
      <c r="P48" s="49" t="s">
        <v>381</v>
      </c>
      <c r="Q48" s="49" t="s">
        <v>381</v>
      </c>
      <c r="R48" s="30" t="str">
        <f t="shared" si="1"/>
        <v/>
      </c>
      <c r="S48" s="30" t="str">
        <f t="shared" si="2"/>
        <v/>
      </c>
      <c r="T48" s="30" t="str">
        <f t="shared" si="3"/>
        <v/>
      </c>
      <c r="U48" s="30" t="str">
        <f t="shared" si="4"/>
        <v/>
      </c>
      <c r="V48" s="30" t="str">
        <f t="shared" si="5"/>
        <v/>
      </c>
      <c r="W48" s="30" t="str">
        <f t="shared" si="6"/>
        <v/>
      </c>
      <c r="X48" s="30" t="str">
        <f t="shared" si="7"/>
        <v/>
      </c>
    </row>
    <row r="49" spans="1:54" ht="22.2" customHeight="1" x14ac:dyDescent="0.3">
      <c r="A49" s="51" t="str">
        <f>IF(ISNA(VLOOKUP(B49,Shortlist_xref!$A$5:$B$77,2,FALSE))=TRUE,"-",VLOOKUP(B49,Shortlist_xref!$A$5:$B$77,2,FALSE))</f>
        <v>-</v>
      </c>
      <c r="B49" s="109" t="s">
        <v>757</v>
      </c>
      <c r="C49" s="36" t="s">
        <v>758</v>
      </c>
      <c r="D49" s="36" t="s">
        <v>617</v>
      </c>
      <c r="E49" s="36" t="s">
        <v>53</v>
      </c>
      <c r="F49" s="9">
        <v>54.511166674933094</v>
      </c>
      <c r="G49" s="9">
        <v>32.824396151217684</v>
      </c>
      <c r="H49" s="9">
        <v>38.327398115907449</v>
      </c>
      <c r="I49" s="9">
        <v>29.274151519092602</v>
      </c>
      <c r="J49" s="9">
        <v>51.388574345466324</v>
      </c>
      <c r="K49" s="9">
        <v>25.170872874633346</v>
      </c>
      <c r="L49" s="49" t="s">
        <v>381</v>
      </c>
      <c r="M49" s="49" t="s">
        <v>381</v>
      </c>
      <c r="N49" s="49" t="s">
        <v>381</v>
      </c>
      <c r="O49" s="49" t="s">
        <v>381</v>
      </c>
      <c r="P49" s="49" t="s">
        <v>381</v>
      </c>
      <c r="Q49" s="49" t="s">
        <v>381</v>
      </c>
      <c r="R49" s="30" t="str">
        <f t="shared" si="1"/>
        <v/>
      </c>
      <c r="S49" s="30" t="str">
        <f t="shared" si="2"/>
        <v/>
      </c>
      <c r="T49" s="30" t="str">
        <f t="shared" si="3"/>
        <v/>
      </c>
      <c r="U49" s="30" t="str">
        <f t="shared" si="4"/>
        <v/>
      </c>
      <c r="V49" s="30" t="str">
        <f t="shared" si="5"/>
        <v/>
      </c>
      <c r="W49" s="30" t="str">
        <f t="shared" si="6"/>
        <v/>
      </c>
      <c r="X49" s="30" t="str">
        <f t="shared" si="7"/>
        <v/>
      </c>
    </row>
    <row r="50" spans="1:54" ht="22.2" customHeight="1" x14ac:dyDescent="0.3">
      <c r="A50" s="51" t="str">
        <f>IF(ISNA(VLOOKUP(B50,Shortlist_xref!$A$5:$B$77,2,FALSE))=TRUE,"-",VLOOKUP(B50,Shortlist_xref!$A$5:$B$77,2,FALSE))</f>
        <v>-</v>
      </c>
      <c r="B50" s="109" t="s">
        <v>760</v>
      </c>
      <c r="C50" s="36" t="s">
        <v>761</v>
      </c>
      <c r="D50" s="36" t="s">
        <v>762</v>
      </c>
      <c r="E50" s="36" t="s">
        <v>12</v>
      </c>
      <c r="F50" s="9" t="s">
        <v>37</v>
      </c>
      <c r="G50" s="9" t="s">
        <v>37</v>
      </c>
      <c r="H50" s="9" t="s">
        <v>37</v>
      </c>
      <c r="I50" s="9" t="s">
        <v>37</v>
      </c>
      <c r="J50" s="9" t="s">
        <v>37</v>
      </c>
      <c r="K50" s="9" t="s">
        <v>37</v>
      </c>
      <c r="L50" s="49" t="s">
        <v>381</v>
      </c>
      <c r="M50" s="49" t="s">
        <v>381</v>
      </c>
      <c r="N50" s="49" t="s">
        <v>381</v>
      </c>
      <c r="O50" s="49" t="s">
        <v>381</v>
      </c>
      <c r="P50" s="49" t="s">
        <v>381</v>
      </c>
      <c r="Q50" s="49" t="s">
        <v>381</v>
      </c>
      <c r="R50" s="30" t="str">
        <f t="shared" si="1"/>
        <v/>
      </c>
      <c r="S50" s="30" t="str">
        <f t="shared" si="2"/>
        <v/>
      </c>
      <c r="T50" s="30" t="str">
        <f t="shared" si="3"/>
        <v/>
      </c>
      <c r="U50" s="30" t="str">
        <f t="shared" si="4"/>
        <v/>
      </c>
      <c r="V50" s="30" t="str">
        <f t="shared" si="5"/>
        <v/>
      </c>
      <c r="W50" s="30" t="str">
        <f t="shared" si="6"/>
        <v/>
      </c>
      <c r="X50" s="30" t="str">
        <f t="shared" si="7"/>
        <v/>
      </c>
    </row>
    <row r="51" spans="1:54" ht="22.2" customHeight="1" x14ac:dyDescent="0.3">
      <c r="A51" s="51" t="str">
        <f>IF(ISNA(VLOOKUP(B51,Shortlist_xref!$A$5:$B$77,2,FALSE))=TRUE,"-",VLOOKUP(B51,Shortlist_xref!$A$5:$B$77,2,FALSE))</f>
        <v>-</v>
      </c>
      <c r="B51" s="109" t="s">
        <v>765</v>
      </c>
      <c r="C51" s="36" t="s">
        <v>761</v>
      </c>
      <c r="D51" s="36" t="s">
        <v>766</v>
      </c>
      <c r="E51" s="36" t="s">
        <v>12</v>
      </c>
      <c r="F51" s="9" t="s">
        <v>37</v>
      </c>
      <c r="G51" s="9" t="s">
        <v>37</v>
      </c>
      <c r="H51" s="9" t="s">
        <v>37</v>
      </c>
      <c r="I51" s="9" t="s">
        <v>37</v>
      </c>
      <c r="J51" s="9" t="s">
        <v>37</v>
      </c>
      <c r="K51" s="9" t="s">
        <v>37</v>
      </c>
      <c r="L51" s="49" t="s">
        <v>381</v>
      </c>
      <c r="M51" s="49" t="s">
        <v>381</v>
      </c>
      <c r="N51" s="49" t="s">
        <v>381</v>
      </c>
      <c r="O51" s="49" t="s">
        <v>381</v>
      </c>
      <c r="P51" s="49" t="s">
        <v>381</v>
      </c>
      <c r="Q51" s="49" t="s">
        <v>381</v>
      </c>
      <c r="R51" s="30" t="str">
        <f t="shared" si="1"/>
        <v/>
      </c>
      <c r="S51" s="30" t="str">
        <f t="shared" si="2"/>
        <v/>
      </c>
      <c r="T51" s="30" t="str">
        <f t="shared" si="3"/>
        <v/>
      </c>
      <c r="U51" s="30" t="str">
        <f t="shared" si="4"/>
        <v/>
      </c>
      <c r="V51" s="30" t="str">
        <f t="shared" si="5"/>
        <v/>
      </c>
      <c r="W51" s="30" t="str">
        <f t="shared" si="6"/>
        <v/>
      </c>
      <c r="X51" s="30" t="str">
        <f t="shared" si="7"/>
        <v/>
      </c>
    </row>
    <row r="52" spans="1:54" ht="22.2" customHeight="1" x14ac:dyDescent="0.3">
      <c r="A52" s="51" t="str">
        <f>IF(ISNA(VLOOKUP(B52,Shortlist_xref!$A$5:$B$77,2,FALSE))=TRUE,"-",VLOOKUP(B52,Shortlist_xref!$A$5:$B$77,2,FALSE))</f>
        <v>-</v>
      </c>
      <c r="B52" s="109" t="s">
        <v>767</v>
      </c>
      <c r="C52" s="36" t="s">
        <v>768</v>
      </c>
      <c r="D52" s="36" t="s">
        <v>769</v>
      </c>
      <c r="E52" s="36" t="s">
        <v>53</v>
      </c>
      <c r="F52" s="9" t="s">
        <v>37</v>
      </c>
      <c r="G52" s="9" t="s">
        <v>37</v>
      </c>
      <c r="H52" s="9" t="s">
        <v>37</v>
      </c>
      <c r="I52" s="9" t="s">
        <v>37</v>
      </c>
      <c r="J52" s="9" t="s">
        <v>37</v>
      </c>
      <c r="K52" s="9" t="s">
        <v>37</v>
      </c>
      <c r="L52" s="49" t="s">
        <v>381</v>
      </c>
      <c r="M52" s="49" t="s">
        <v>381</v>
      </c>
      <c r="N52" s="49" t="s">
        <v>381</v>
      </c>
      <c r="O52" s="49" t="s">
        <v>381</v>
      </c>
      <c r="P52" s="49" t="s">
        <v>381</v>
      </c>
      <c r="Q52" s="49" t="s">
        <v>381</v>
      </c>
      <c r="R52" s="30" t="str">
        <f t="shared" si="1"/>
        <v/>
      </c>
      <c r="S52" s="30" t="str">
        <f t="shared" si="2"/>
        <v/>
      </c>
      <c r="T52" s="30" t="str">
        <f t="shared" si="3"/>
        <v/>
      </c>
      <c r="U52" s="30" t="str">
        <f t="shared" si="4"/>
        <v/>
      </c>
      <c r="V52" s="30" t="str">
        <f t="shared" si="5"/>
        <v/>
      </c>
      <c r="W52" s="30" t="str">
        <f t="shared" si="6"/>
        <v/>
      </c>
      <c r="X52" s="30" t="str">
        <f t="shared" si="7"/>
        <v/>
      </c>
    </row>
    <row r="53" spans="1:54" ht="22.2" customHeight="1" x14ac:dyDescent="0.3">
      <c r="A53" s="51" t="str">
        <f>IF(ISNA(VLOOKUP(B53,Shortlist_xref!$A$5:$B$77,2,FALSE))=TRUE,"-",VLOOKUP(B53,Shortlist_xref!$A$5:$B$77,2,FALSE))</f>
        <v>-</v>
      </c>
      <c r="B53" s="109" t="s">
        <v>770</v>
      </c>
      <c r="C53" s="36" t="s">
        <v>768</v>
      </c>
      <c r="D53" s="36" t="s">
        <v>771</v>
      </c>
      <c r="E53" s="36" t="s">
        <v>12</v>
      </c>
      <c r="F53" s="9" t="s">
        <v>37</v>
      </c>
      <c r="G53" s="9" t="s">
        <v>37</v>
      </c>
      <c r="H53" s="9" t="s">
        <v>37</v>
      </c>
      <c r="I53" s="9" t="s">
        <v>37</v>
      </c>
      <c r="J53" s="9" t="s">
        <v>37</v>
      </c>
      <c r="K53" s="9" t="s">
        <v>37</v>
      </c>
      <c r="L53" s="49" t="s">
        <v>381</v>
      </c>
      <c r="M53" s="49" t="s">
        <v>381</v>
      </c>
      <c r="N53" s="49" t="s">
        <v>381</v>
      </c>
      <c r="O53" s="49" t="s">
        <v>381</v>
      </c>
      <c r="P53" s="49" t="s">
        <v>381</v>
      </c>
      <c r="Q53" s="49" t="s">
        <v>381</v>
      </c>
      <c r="R53" s="30" t="str">
        <f t="shared" si="1"/>
        <v/>
      </c>
      <c r="S53" s="30" t="str">
        <f t="shared" si="2"/>
        <v/>
      </c>
      <c r="T53" s="30" t="str">
        <f t="shared" si="3"/>
        <v/>
      </c>
      <c r="U53" s="30" t="str">
        <f t="shared" si="4"/>
        <v/>
      </c>
      <c r="V53" s="30" t="str">
        <f t="shared" si="5"/>
        <v/>
      </c>
      <c r="W53" s="30" t="str">
        <f t="shared" si="6"/>
        <v/>
      </c>
      <c r="X53" s="30" t="str">
        <f t="shared" si="7"/>
        <v/>
      </c>
    </row>
    <row r="54" spans="1:54" ht="22.2" customHeight="1" x14ac:dyDescent="0.3">
      <c r="A54" s="51" t="str">
        <f>IF(ISNA(VLOOKUP(B54,Shortlist_xref!$A$5:$B$77,2,FALSE))=TRUE,"-",VLOOKUP(B54,Shortlist_xref!$A$5:$B$77,2,FALSE))</f>
        <v>-</v>
      </c>
      <c r="B54" s="109" t="s">
        <v>772</v>
      </c>
      <c r="C54" s="36" t="s">
        <v>768</v>
      </c>
      <c r="D54" s="36" t="s">
        <v>773</v>
      </c>
      <c r="E54" s="36" t="s">
        <v>12</v>
      </c>
      <c r="F54" s="9">
        <v>130.55155215618498</v>
      </c>
      <c r="G54" s="9">
        <v>108.22742195085</v>
      </c>
      <c r="H54" s="9">
        <v>43.78547797851899</v>
      </c>
      <c r="I54" s="9">
        <v>126.778916171305</v>
      </c>
      <c r="J54" s="9">
        <v>95.09089190270501</v>
      </c>
      <c r="K54" s="9">
        <v>44.042990966350999</v>
      </c>
      <c r="L54" s="49" t="s">
        <v>381</v>
      </c>
      <c r="M54" s="49" t="s">
        <v>381</v>
      </c>
      <c r="N54" s="49" t="s">
        <v>381</v>
      </c>
      <c r="O54" s="49" t="s">
        <v>381</v>
      </c>
      <c r="P54" s="49" t="s">
        <v>381</v>
      </c>
      <c r="Q54" s="49" t="s">
        <v>381</v>
      </c>
      <c r="R54" s="30" t="str">
        <f t="shared" si="1"/>
        <v/>
      </c>
      <c r="S54" s="30" t="str">
        <f t="shared" si="2"/>
        <v/>
      </c>
      <c r="T54" s="30" t="str">
        <f t="shared" si="3"/>
        <v/>
      </c>
      <c r="U54" s="30" t="str">
        <f t="shared" si="4"/>
        <v/>
      </c>
      <c r="V54" s="30" t="str">
        <f t="shared" si="5"/>
        <v/>
      </c>
      <c r="W54" s="30" t="str">
        <f t="shared" si="6"/>
        <v/>
      </c>
      <c r="X54" s="30" t="str">
        <f t="shared" si="7"/>
        <v/>
      </c>
      <c r="Y54" s="48"/>
      <c r="Z54" s="48"/>
      <c r="AA54" s="48"/>
      <c r="AB54" s="48"/>
      <c r="AC54" s="48"/>
      <c r="AD54" s="48"/>
      <c r="AE54" s="48"/>
      <c r="AF54" s="48"/>
      <c r="AG54" s="48"/>
      <c r="AH54" s="48"/>
      <c r="AI54" s="48"/>
      <c r="AJ54" s="48"/>
      <c r="AK54" s="48"/>
      <c r="AL54" s="48"/>
      <c r="AM54" s="48"/>
      <c r="AN54" s="48"/>
      <c r="AO54" s="48"/>
      <c r="AP54" s="48"/>
      <c r="AQ54" s="48"/>
      <c r="AR54" s="48"/>
      <c r="AS54" s="48"/>
      <c r="AT54" s="48"/>
      <c r="AU54" s="48"/>
      <c r="AV54" s="48"/>
      <c r="AW54" s="48"/>
      <c r="AX54" s="48"/>
      <c r="AY54" s="48"/>
      <c r="AZ54" s="48"/>
      <c r="BA54" s="48"/>
      <c r="BB54" s="48"/>
    </row>
    <row r="55" spans="1:54" ht="22.2" customHeight="1" x14ac:dyDescent="0.3">
      <c r="A55" s="51" t="str">
        <f>IF(ISNA(VLOOKUP(B55,Shortlist_xref!$A$5:$B$77,2,FALSE))=TRUE,"-",VLOOKUP(B55,Shortlist_xref!$A$5:$B$77,2,FALSE))</f>
        <v>-</v>
      </c>
      <c r="B55" s="109" t="s">
        <v>774</v>
      </c>
      <c r="C55" s="36" t="s">
        <v>768</v>
      </c>
      <c r="D55" s="36" t="s">
        <v>775</v>
      </c>
      <c r="E55" s="36" t="s">
        <v>12</v>
      </c>
      <c r="F55" s="9" t="s">
        <v>37</v>
      </c>
      <c r="G55" s="9" t="s">
        <v>37</v>
      </c>
      <c r="H55" s="9" t="s">
        <v>37</v>
      </c>
      <c r="I55" s="9" t="s">
        <v>37</v>
      </c>
      <c r="J55" s="9" t="s">
        <v>37</v>
      </c>
      <c r="K55" s="9" t="s">
        <v>37</v>
      </c>
      <c r="L55" s="49" t="s">
        <v>381</v>
      </c>
      <c r="M55" s="49" t="s">
        <v>381</v>
      </c>
      <c r="N55" s="49" t="s">
        <v>381</v>
      </c>
      <c r="O55" s="49" t="s">
        <v>381</v>
      </c>
      <c r="P55" s="49" t="s">
        <v>381</v>
      </c>
      <c r="Q55" s="49" t="s">
        <v>381</v>
      </c>
      <c r="R55" s="30" t="str">
        <f t="shared" si="1"/>
        <v/>
      </c>
      <c r="S55" s="30" t="str">
        <f t="shared" si="2"/>
        <v/>
      </c>
      <c r="T55" s="30" t="str">
        <f t="shared" si="3"/>
        <v/>
      </c>
      <c r="U55" s="30" t="str">
        <f t="shared" si="4"/>
        <v/>
      </c>
      <c r="V55" s="30" t="str">
        <f t="shared" si="5"/>
        <v/>
      </c>
      <c r="W55" s="30" t="str">
        <f t="shared" si="6"/>
        <v/>
      </c>
      <c r="X55" s="30" t="str">
        <f t="shared" si="7"/>
        <v/>
      </c>
    </row>
    <row r="56" spans="1:54" ht="22.2" customHeight="1" x14ac:dyDescent="0.3">
      <c r="A56" s="51" t="str">
        <f>IF(ISNA(VLOOKUP(B56,Shortlist_xref!$A$5:$B$77,2,FALSE))=TRUE,"-",VLOOKUP(B56,Shortlist_xref!$A$5:$B$77,2,FALSE))</f>
        <v>-</v>
      </c>
      <c r="B56" s="109" t="s">
        <v>777</v>
      </c>
      <c r="C56" s="36" t="s">
        <v>768</v>
      </c>
      <c r="D56" s="36" t="s">
        <v>778</v>
      </c>
      <c r="E56" s="36" t="s">
        <v>12</v>
      </c>
      <c r="F56" s="9">
        <v>35.248919082169948</v>
      </c>
      <c r="G56" s="9">
        <v>29.221403926729501</v>
      </c>
      <c r="H56" s="9">
        <v>11.822079054200128</v>
      </c>
      <c r="I56" s="9">
        <v>34.230307366252354</v>
      </c>
      <c r="J56" s="9">
        <v>25.674540813730353</v>
      </c>
      <c r="K56" s="9">
        <v>11.891607560914771</v>
      </c>
      <c r="L56" s="49" t="s">
        <v>381</v>
      </c>
      <c r="M56" s="49" t="s">
        <v>381</v>
      </c>
      <c r="N56" s="49" t="s">
        <v>381</v>
      </c>
      <c r="O56" s="49" t="s">
        <v>381</v>
      </c>
      <c r="P56" s="49" t="s">
        <v>381</v>
      </c>
      <c r="Q56" s="49" t="s">
        <v>381</v>
      </c>
      <c r="R56" s="30" t="str">
        <f t="shared" si="1"/>
        <v/>
      </c>
      <c r="S56" s="30" t="str">
        <f t="shared" si="2"/>
        <v/>
      </c>
      <c r="T56" s="30" t="str">
        <f t="shared" si="3"/>
        <v/>
      </c>
      <c r="U56" s="30" t="str">
        <f t="shared" si="4"/>
        <v/>
      </c>
      <c r="V56" s="30" t="str">
        <f t="shared" si="5"/>
        <v/>
      </c>
      <c r="W56" s="30" t="str">
        <f t="shared" si="6"/>
        <v/>
      </c>
      <c r="X56" s="30" t="str">
        <f t="shared" si="7"/>
        <v/>
      </c>
    </row>
    <row r="57" spans="1:54" ht="22.2" customHeight="1" x14ac:dyDescent="0.3">
      <c r="A57" s="51" t="str">
        <f>IF(ISNA(VLOOKUP(B57,Shortlist_xref!$A$5:$B$77,2,FALSE))=TRUE,"-",VLOOKUP(B57,Shortlist_xref!$A$5:$B$77,2,FALSE))</f>
        <v>-</v>
      </c>
      <c r="B57" s="109" t="s">
        <v>780</v>
      </c>
      <c r="C57" s="36" t="s">
        <v>768</v>
      </c>
      <c r="D57" s="36" t="s">
        <v>781</v>
      </c>
      <c r="E57" s="36" t="s">
        <v>12</v>
      </c>
      <c r="F57" s="9" t="s">
        <v>37</v>
      </c>
      <c r="G57" s="9" t="s">
        <v>37</v>
      </c>
      <c r="H57" s="9" t="s">
        <v>37</v>
      </c>
      <c r="I57" s="9" t="s">
        <v>37</v>
      </c>
      <c r="J57" s="9" t="s">
        <v>37</v>
      </c>
      <c r="K57" s="9" t="s">
        <v>37</v>
      </c>
      <c r="L57" s="49" t="s">
        <v>381</v>
      </c>
      <c r="M57" s="49" t="s">
        <v>381</v>
      </c>
      <c r="N57" s="49" t="s">
        <v>381</v>
      </c>
      <c r="O57" s="49" t="s">
        <v>381</v>
      </c>
      <c r="P57" s="49" t="s">
        <v>381</v>
      </c>
      <c r="Q57" s="49" t="s">
        <v>381</v>
      </c>
      <c r="R57" s="30" t="str">
        <f t="shared" si="1"/>
        <v/>
      </c>
      <c r="S57" s="30" t="str">
        <f t="shared" si="2"/>
        <v/>
      </c>
      <c r="T57" s="30" t="str">
        <f t="shared" si="3"/>
        <v/>
      </c>
      <c r="U57" s="30" t="str">
        <f t="shared" si="4"/>
        <v/>
      </c>
      <c r="V57" s="30" t="str">
        <f t="shared" si="5"/>
        <v/>
      </c>
      <c r="W57" s="30" t="str">
        <f t="shared" si="6"/>
        <v/>
      </c>
      <c r="X57" s="30" t="str">
        <f t="shared" si="7"/>
        <v/>
      </c>
    </row>
    <row r="58" spans="1:54" ht="22.2" customHeight="1" x14ac:dyDescent="0.3">
      <c r="A58" s="51" t="str">
        <f>IF(ISNA(VLOOKUP(B58,Shortlist_xref!$A$5:$B$77,2,FALSE))=TRUE,"-",VLOOKUP(B58,Shortlist_xref!$A$5:$B$77,2,FALSE))</f>
        <v>-</v>
      </c>
      <c r="B58" s="109" t="s">
        <v>783</v>
      </c>
      <c r="C58" s="36" t="s">
        <v>768</v>
      </c>
      <c r="D58" s="36" t="s">
        <v>784</v>
      </c>
      <c r="E58" s="36" t="s">
        <v>12</v>
      </c>
      <c r="F58" s="9" t="s">
        <v>37</v>
      </c>
      <c r="G58" s="9" t="s">
        <v>37</v>
      </c>
      <c r="H58" s="9" t="s">
        <v>37</v>
      </c>
      <c r="I58" s="9" t="s">
        <v>37</v>
      </c>
      <c r="J58" s="9" t="s">
        <v>37</v>
      </c>
      <c r="K58" s="9" t="s">
        <v>37</v>
      </c>
      <c r="L58" s="49" t="s">
        <v>381</v>
      </c>
      <c r="M58" s="49" t="s">
        <v>381</v>
      </c>
      <c r="N58" s="49" t="s">
        <v>381</v>
      </c>
      <c r="O58" s="49" t="s">
        <v>381</v>
      </c>
      <c r="P58" s="49" t="s">
        <v>381</v>
      </c>
      <c r="Q58" s="49" t="s">
        <v>381</v>
      </c>
      <c r="R58" s="30" t="str">
        <f t="shared" si="1"/>
        <v/>
      </c>
      <c r="S58" s="30" t="str">
        <f t="shared" si="2"/>
        <v/>
      </c>
      <c r="T58" s="30" t="str">
        <f t="shared" si="3"/>
        <v/>
      </c>
      <c r="U58" s="30" t="str">
        <f t="shared" si="4"/>
        <v/>
      </c>
      <c r="V58" s="30" t="str">
        <f t="shared" si="5"/>
        <v/>
      </c>
      <c r="W58" s="30" t="str">
        <f t="shared" si="6"/>
        <v/>
      </c>
      <c r="X58" s="30" t="str">
        <f t="shared" si="7"/>
        <v/>
      </c>
    </row>
    <row r="59" spans="1:54" ht="22.2" customHeight="1" x14ac:dyDescent="0.3">
      <c r="A59" s="51" t="str">
        <f>IF(ISNA(VLOOKUP(B59,Shortlist_xref!$A$5:$B$77,2,FALSE))=TRUE,"-",VLOOKUP(B59,Shortlist_xref!$A$5:$B$77,2,FALSE))</f>
        <v>-</v>
      </c>
      <c r="B59" s="109" t="s">
        <v>786</v>
      </c>
      <c r="C59" s="36" t="s">
        <v>768</v>
      </c>
      <c r="D59" s="36" t="s">
        <v>787</v>
      </c>
      <c r="E59" s="36" t="s">
        <v>12</v>
      </c>
      <c r="F59" s="9">
        <v>48.304074297788446</v>
      </c>
      <c r="G59" s="9">
        <v>40.044146121814499</v>
      </c>
      <c r="H59" s="9">
        <v>16.200626852052025</v>
      </c>
      <c r="I59" s="9">
        <v>46.908198983382846</v>
      </c>
      <c r="J59" s="9">
        <v>35.183630004000854</v>
      </c>
      <c r="K59" s="9">
        <v>16.295906657549871</v>
      </c>
      <c r="L59" s="49" t="s">
        <v>381</v>
      </c>
      <c r="M59" s="49" t="s">
        <v>381</v>
      </c>
      <c r="N59" s="49" t="s">
        <v>381</v>
      </c>
      <c r="O59" s="49" t="s">
        <v>381</v>
      </c>
      <c r="P59" s="49" t="s">
        <v>381</v>
      </c>
      <c r="Q59" s="49" t="s">
        <v>381</v>
      </c>
      <c r="R59" s="30" t="str">
        <f t="shared" si="1"/>
        <v/>
      </c>
      <c r="S59" s="30" t="str">
        <f t="shared" si="2"/>
        <v/>
      </c>
      <c r="T59" s="30" t="str">
        <f t="shared" si="3"/>
        <v/>
      </c>
      <c r="U59" s="30" t="str">
        <f t="shared" si="4"/>
        <v/>
      </c>
      <c r="V59" s="30" t="str">
        <f t="shared" si="5"/>
        <v/>
      </c>
      <c r="W59" s="30" t="str">
        <f t="shared" si="6"/>
        <v/>
      </c>
      <c r="X59" s="30" t="str">
        <f t="shared" si="7"/>
        <v/>
      </c>
    </row>
    <row r="60" spans="1:54" ht="22.2" customHeight="1" x14ac:dyDescent="0.3">
      <c r="A60" s="51" t="str">
        <f>IF(ISNA(VLOOKUP(B60,Shortlist_xref!$A$5:$B$77,2,FALSE))=TRUE,"-",VLOOKUP(B60,Shortlist_xref!$A$5:$B$77,2,FALSE))</f>
        <v>-</v>
      </c>
      <c r="B60" s="109" t="s">
        <v>786</v>
      </c>
      <c r="C60" s="36" t="s">
        <v>768</v>
      </c>
      <c r="D60" s="36" t="s">
        <v>787</v>
      </c>
      <c r="E60" s="36" t="s">
        <v>53</v>
      </c>
      <c r="F60" s="9">
        <v>6.0349026957808407</v>
      </c>
      <c r="G60" s="9">
        <v>4.71539484626107</v>
      </c>
      <c r="H60" s="9">
        <v>2.10061461018846</v>
      </c>
      <c r="I60" s="9">
        <v>5.9634695419649706</v>
      </c>
      <c r="J60" s="9">
        <v>4.3103062682871593</v>
      </c>
      <c r="K60" s="9">
        <v>1.9565895368000601</v>
      </c>
      <c r="L60" s="49" t="s">
        <v>381</v>
      </c>
      <c r="M60" s="49" t="s">
        <v>381</v>
      </c>
      <c r="N60" s="49" t="s">
        <v>381</v>
      </c>
      <c r="O60" s="49" t="s">
        <v>381</v>
      </c>
      <c r="P60" s="49" t="s">
        <v>381</v>
      </c>
      <c r="Q60" s="49" t="s">
        <v>381</v>
      </c>
      <c r="R60" s="30" t="str">
        <f t="shared" si="1"/>
        <v/>
      </c>
      <c r="S60" s="30" t="str">
        <f t="shared" si="2"/>
        <v/>
      </c>
      <c r="T60" s="30" t="str">
        <f t="shared" si="3"/>
        <v/>
      </c>
      <c r="U60" s="30" t="str">
        <f t="shared" si="4"/>
        <v/>
      </c>
      <c r="V60" s="30" t="str">
        <f t="shared" si="5"/>
        <v/>
      </c>
      <c r="W60" s="30" t="str">
        <f t="shared" si="6"/>
        <v/>
      </c>
      <c r="X60" s="30" t="str">
        <f t="shared" si="7"/>
        <v/>
      </c>
    </row>
    <row r="61" spans="1:54" ht="22.2" customHeight="1" x14ac:dyDescent="0.3">
      <c r="A61" s="51" t="str">
        <f>IF(ISNA(VLOOKUP(B61,Shortlist_xref!$A$5:$B$77,2,FALSE))=TRUE,"-",VLOOKUP(B61,Shortlist_xref!$A$5:$B$77,2,FALSE))</f>
        <v>EmissRed</v>
      </c>
      <c r="B61" s="109" t="s">
        <v>163</v>
      </c>
      <c r="C61" s="36" t="s">
        <v>164</v>
      </c>
      <c r="D61" s="36" t="s">
        <v>165</v>
      </c>
      <c r="E61" s="36" t="s">
        <v>12</v>
      </c>
      <c r="F61" s="9">
        <v>633.52992521973147</v>
      </c>
      <c r="G61" s="9">
        <v>609.00562967649091</v>
      </c>
      <c r="H61" s="9">
        <v>360.98204165345101</v>
      </c>
      <c r="I61" s="9">
        <v>425.38524709920995</v>
      </c>
      <c r="J61" s="9">
        <v>649.0318897646066</v>
      </c>
      <c r="K61" s="9">
        <v>397.65037677466205</v>
      </c>
      <c r="L61" s="49" t="s">
        <v>381</v>
      </c>
      <c r="M61" s="49" t="s">
        <v>381</v>
      </c>
      <c r="N61" s="49" t="s">
        <v>381</v>
      </c>
      <c r="O61" s="49" t="s">
        <v>381</v>
      </c>
      <c r="P61" s="49" t="s">
        <v>381</v>
      </c>
      <c r="Q61" s="49" t="s">
        <v>381</v>
      </c>
      <c r="R61" s="30" t="str">
        <f t="shared" si="1"/>
        <v/>
      </c>
      <c r="S61" s="30" t="str">
        <f t="shared" si="2"/>
        <v/>
      </c>
      <c r="T61" s="30" t="str">
        <f t="shared" si="3"/>
        <v/>
      </c>
      <c r="U61" s="30" t="str">
        <f t="shared" si="4"/>
        <v/>
      </c>
      <c r="V61" s="30" t="str">
        <f t="shared" si="5"/>
        <v/>
      </c>
      <c r="W61" s="30" t="str">
        <f t="shared" si="6"/>
        <v/>
      </c>
      <c r="X61" s="30" t="str">
        <f t="shared" si="7"/>
        <v/>
      </c>
    </row>
    <row r="62" spans="1:54" ht="22.2" customHeight="1" x14ac:dyDescent="0.3">
      <c r="A62" s="51" t="str">
        <f>IF(ISNA(VLOOKUP(B62,Shortlist_xref!$A$5:$B$77,2,FALSE))=TRUE,"-",VLOOKUP(B62,Shortlist_xref!$A$5:$B$77,2,FALSE))</f>
        <v>EmissRed</v>
      </c>
      <c r="B62" s="109" t="s">
        <v>166</v>
      </c>
      <c r="C62" s="36" t="s">
        <v>167</v>
      </c>
      <c r="D62" s="36" t="s">
        <v>168</v>
      </c>
      <c r="E62" s="36" t="s">
        <v>12</v>
      </c>
      <c r="F62" s="9">
        <v>601.85342895874487</v>
      </c>
      <c r="G62" s="9">
        <v>578.55534819266632</v>
      </c>
      <c r="H62" s="9">
        <v>342.93293957077844</v>
      </c>
      <c r="I62" s="9">
        <v>404.11598474424943</v>
      </c>
      <c r="J62" s="9">
        <v>616.58029527637621</v>
      </c>
      <c r="K62" s="9">
        <v>377.76785793592893</v>
      </c>
      <c r="L62" s="49" t="s">
        <v>381</v>
      </c>
      <c r="M62" s="49" t="s">
        <v>381</v>
      </c>
      <c r="N62" s="49" t="s">
        <v>381</v>
      </c>
      <c r="O62" s="49" t="s">
        <v>381</v>
      </c>
      <c r="P62" s="49" t="s">
        <v>381</v>
      </c>
      <c r="Q62" s="49" t="s">
        <v>381</v>
      </c>
      <c r="R62" s="30" t="str">
        <f t="shared" si="1"/>
        <v/>
      </c>
      <c r="S62" s="30" t="str">
        <f t="shared" si="2"/>
        <v/>
      </c>
      <c r="T62" s="30" t="str">
        <f t="shared" si="3"/>
        <v/>
      </c>
      <c r="U62" s="30" t="str">
        <f t="shared" si="4"/>
        <v/>
      </c>
      <c r="V62" s="30" t="str">
        <f t="shared" si="5"/>
        <v/>
      </c>
      <c r="W62" s="30" t="str">
        <f t="shared" si="6"/>
        <v/>
      </c>
      <c r="X62" s="30" t="str">
        <f t="shared" si="7"/>
        <v/>
      </c>
    </row>
    <row r="63" spans="1:54" x14ac:dyDescent="0.3">
      <c r="A63" s="46" t="s">
        <v>169</v>
      </c>
      <c r="B63" s="110"/>
      <c r="C63" s="53"/>
      <c r="D63" s="53"/>
      <c r="E63" s="53"/>
      <c r="F63" s="54"/>
      <c r="G63" s="54"/>
      <c r="H63" s="54"/>
      <c r="I63" s="54"/>
      <c r="J63" s="54"/>
      <c r="K63" s="54"/>
      <c r="L63" s="39"/>
      <c r="M63" s="39"/>
      <c r="N63" s="39"/>
      <c r="O63" s="39"/>
      <c r="P63" s="39"/>
      <c r="Q63" s="39"/>
      <c r="R63" s="30" t="str">
        <f t="shared" si="1"/>
        <v/>
      </c>
      <c r="S63" s="30" t="str">
        <f t="shared" si="2"/>
        <v/>
      </c>
      <c r="T63" s="30" t="str">
        <f t="shared" si="3"/>
        <v/>
      </c>
      <c r="U63" s="30" t="str">
        <f t="shared" si="4"/>
        <v/>
      </c>
      <c r="V63" s="30" t="str">
        <f t="shared" si="5"/>
        <v/>
      </c>
      <c r="W63" s="30" t="str">
        <f t="shared" si="6"/>
        <v/>
      </c>
      <c r="X63" s="30" t="str">
        <f t="shared" si="7"/>
        <v/>
      </c>
    </row>
    <row r="64" spans="1:54" ht="22.2" customHeight="1" x14ac:dyDescent="0.3">
      <c r="A64" s="51" t="str">
        <f>IF(ISNA(VLOOKUP(B64,Shortlist_xref!$A$5:$B$77,2,FALSE))=TRUE,"-",VLOOKUP(B64,Shortlist_xref!$A$5:$B$77,2,FALSE))</f>
        <v>-</v>
      </c>
      <c r="B64" s="109" t="s">
        <v>794</v>
      </c>
      <c r="C64" s="36" t="s">
        <v>795</v>
      </c>
      <c r="D64" s="36" t="s">
        <v>796</v>
      </c>
      <c r="E64" s="36" t="s">
        <v>12</v>
      </c>
      <c r="F64" s="9">
        <v>28.9140586515</v>
      </c>
      <c r="G64" s="9">
        <v>0</v>
      </c>
      <c r="H64" s="9">
        <v>0</v>
      </c>
      <c r="I64" s="9">
        <v>0.67384961981000002</v>
      </c>
      <c r="J64" s="9">
        <v>0</v>
      </c>
      <c r="K64" s="9">
        <v>0.41869888225500002</v>
      </c>
      <c r="L64" s="49" t="s">
        <v>381</v>
      </c>
      <c r="M64" s="49" t="s">
        <v>381</v>
      </c>
      <c r="N64" s="49" t="s">
        <v>381</v>
      </c>
      <c r="O64" s="49" t="s">
        <v>381</v>
      </c>
      <c r="P64" s="49" t="s">
        <v>381</v>
      </c>
      <c r="Q64" s="49" t="s">
        <v>381</v>
      </c>
      <c r="R64" s="30" t="str">
        <f t="shared" si="1"/>
        <v/>
      </c>
      <c r="S64" s="30" t="str">
        <f t="shared" si="2"/>
        <v/>
      </c>
      <c r="T64" s="30" t="str">
        <f t="shared" si="3"/>
        <v/>
      </c>
      <c r="U64" s="30" t="str">
        <f t="shared" si="4"/>
        <v/>
      </c>
      <c r="V64" s="30" t="str">
        <f t="shared" si="5"/>
        <v/>
      </c>
      <c r="W64" s="30" t="str">
        <f t="shared" si="6"/>
        <v/>
      </c>
      <c r="X64" s="30" t="str">
        <f t="shared" si="7"/>
        <v/>
      </c>
    </row>
    <row r="65" spans="1:54" ht="22.2" customHeight="1" x14ac:dyDescent="0.3">
      <c r="A65" s="51" t="str">
        <f>IF(ISNA(VLOOKUP(B65,Shortlist_xref!$A$5:$B$77,2,FALSE))=TRUE,"-",VLOOKUP(B65,Shortlist_xref!$A$5:$B$77,2,FALSE))</f>
        <v>CE</v>
      </c>
      <c r="B65" s="109" t="s">
        <v>170</v>
      </c>
      <c r="C65" s="36" t="s">
        <v>171</v>
      </c>
      <c r="D65" s="36" t="s">
        <v>798</v>
      </c>
      <c r="E65" s="36" t="s">
        <v>12</v>
      </c>
      <c r="F65" s="9">
        <v>309.35077049307597</v>
      </c>
      <c r="G65" s="9">
        <v>82.571404235328004</v>
      </c>
      <c r="H65" s="9">
        <v>46.919176952958004</v>
      </c>
      <c r="I65" s="9">
        <v>94.020621814044006</v>
      </c>
      <c r="J65" s="9">
        <v>141.351076161864</v>
      </c>
      <c r="K65" s="9">
        <v>54.621994934556007</v>
      </c>
      <c r="L65" s="49" t="s">
        <v>381</v>
      </c>
      <c r="M65" s="49" t="s">
        <v>381</v>
      </c>
      <c r="N65" s="49" t="s">
        <v>381</v>
      </c>
      <c r="O65" s="49" t="s">
        <v>381</v>
      </c>
      <c r="P65" s="49" t="s">
        <v>381</v>
      </c>
      <c r="Q65" s="49" t="s">
        <v>381</v>
      </c>
      <c r="R65" s="30" t="str">
        <f t="shared" si="1"/>
        <v/>
      </c>
      <c r="S65" s="30" t="str">
        <f t="shared" si="2"/>
        <v/>
      </c>
      <c r="T65" s="30" t="str">
        <f t="shared" si="3"/>
        <v/>
      </c>
      <c r="U65" s="30" t="str">
        <f t="shared" si="4"/>
        <v/>
      </c>
      <c r="V65" s="30" t="str">
        <f t="shared" si="5"/>
        <v/>
      </c>
      <c r="W65" s="30" t="str">
        <f t="shared" si="6"/>
        <v/>
      </c>
      <c r="X65" s="30" t="str">
        <f t="shared" si="7"/>
        <v/>
      </c>
    </row>
    <row r="66" spans="1:54" ht="22.2" customHeight="1" x14ac:dyDescent="0.3">
      <c r="A66" s="51" t="str">
        <f>IF(ISNA(VLOOKUP(B66,Shortlist_xref!$A$5:$B$77,2,FALSE))=TRUE,"-",VLOOKUP(B66,Shortlist_xref!$A$5:$B$77,2,FALSE))</f>
        <v>-</v>
      </c>
      <c r="B66" s="109" t="s">
        <v>803</v>
      </c>
      <c r="C66" s="36" t="s">
        <v>171</v>
      </c>
      <c r="D66" s="36" t="s">
        <v>804</v>
      </c>
      <c r="E66" s="36" t="s">
        <v>12</v>
      </c>
      <c r="F66" s="9">
        <v>0</v>
      </c>
      <c r="G66" s="9">
        <v>0</v>
      </c>
      <c r="H66" s="9">
        <v>0</v>
      </c>
      <c r="I66" s="9">
        <v>0</v>
      </c>
      <c r="J66" s="9">
        <v>0</v>
      </c>
      <c r="K66" s="9">
        <v>0</v>
      </c>
      <c r="L66" s="49" t="s">
        <v>381</v>
      </c>
      <c r="M66" s="49" t="s">
        <v>381</v>
      </c>
      <c r="N66" s="49" t="s">
        <v>381</v>
      </c>
      <c r="O66" s="49" t="s">
        <v>381</v>
      </c>
      <c r="P66" s="49" t="s">
        <v>381</v>
      </c>
      <c r="Q66" s="49" t="s">
        <v>381</v>
      </c>
      <c r="R66" s="30" t="str">
        <f t="shared" si="1"/>
        <v/>
      </c>
      <c r="S66" s="30" t="str">
        <f t="shared" si="2"/>
        <v/>
      </c>
      <c r="T66" s="30" t="str">
        <f t="shared" si="3"/>
        <v/>
      </c>
      <c r="U66" s="30" t="str">
        <f t="shared" si="4"/>
        <v/>
      </c>
      <c r="V66" s="30" t="str">
        <f t="shared" si="5"/>
        <v/>
      </c>
      <c r="W66" s="30" t="str">
        <f t="shared" si="6"/>
        <v/>
      </c>
      <c r="X66" s="30" t="str">
        <f t="shared" si="7"/>
        <v/>
      </c>
    </row>
    <row r="67" spans="1:54" ht="22.2" customHeight="1" x14ac:dyDescent="0.3">
      <c r="A67" s="51" t="str">
        <f>IF(ISNA(VLOOKUP(B67,Shortlist_xref!$A$5:$B$77,2,FALSE))=TRUE,"-",VLOOKUP(B67,Shortlist_xref!$A$5:$B$77,2,FALSE))</f>
        <v>CE</v>
      </c>
      <c r="B67" s="109" t="s">
        <v>172</v>
      </c>
      <c r="C67" s="36" t="s">
        <v>171</v>
      </c>
      <c r="D67" s="36" t="s">
        <v>336</v>
      </c>
      <c r="E67" s="36" t="s">
        <v>12</v>
      </c>
      <c r="F67" s="9">
        <v>48.65609203243875</v>
      </c>
      <c r="G67" s="9">
        <v>14.129064295526252</v>
      </c>
      <c r="H67" s="9">
        <v>6.1572460143374999</v>
      </c>
      <c r="I67" s="9">
        <v>16.817705973528749</v>
      </c>
      <c r="J67" s="9">
        <v>26.833654920712501</v>
      </c>
      <c r="K67" s="9">
        <v>9.7143286642424993</v>
      </c>
      <c r="L67" s="49" t="s">
        <v>381</v>
      </c>
      <c r="M67" s="49" t="s">
        <v>381</v>
      </c>
      <c r="N67" s="49" t="s">
        <v>381</v>
      </c>
      <c r="O67" s="49" t="s">
        <v>381</v>
      </c>
      <c r="P67" s="49" t="s">
        <v>381</v>
      </c>
      <c r="Q67" s="49" t="s">
        <v>381</v>
      </c>
      <c r="R67" s="30" t="str">
        <f t="shared" si="1"/>
        <v/>
      </c>
      <c r="S67" s="30" t="str">
        <f t="shared" si="2"/>
        <v/>
      </c>
      <c r="T67" s="30" t="str">
        <f t="shared" si="3"/>
        <v/>
      </c>
      <c r="U67" s="30" t="str">
        <f t="shared" si="4"/>
        <v/>
      </c>
      <c r="V67" s="30" t="str">
        <f t="shared" si="5"/>
        <v/>
      </c>
      <c r="W67" s="30" t="str">
        <f t="shared" si="6"/>
        <v/>
      </c>
      <c r="X67" s="30" t="str">
        <f t="shared" si="7"/>
        <v/>
      </c>
    </row>
    <row r="68" spans="1:54" ht="22.2" customHeight="1" x14ac:dyDescent="0.3">
      <c r="A68" s="51" t="str">
        <f>IF(ISNA(VLOOKUP(B68,Shortlist_xref!$A$5:$B$77,2,FALSE))=TRUE,"-",VLOOKUP(B68,Shortlist_xref!$A$5:$B$77,2,FALSE))</f>
        <v>-</v>
      </c>
      <c r="B68" s="109" t="s">
        <v>808</v>
      </c>
      <c r="C68" s="36" t="s">
        <v>171</v>
      </c>
      <c r="D68" s="36" t="s">
        <v>809</v>
      </c>
      <c r="E68" s="36" t="s">
        <v>12</v>
      </c>
      <c r="F68" s="9" t="s">
        <v>37</v>
      </c>
      <c r="G68" s="9" t="s">
        <v>37</v>
      </c>
      <c r="H68" s="9" t="s">
        <v>37</v>
      </c>
      <c r="I68" s="9" t="s">
        <v>37</v>
      </c>
      <c r="J68" s="9" t="s">
        <v>37</v>
      </c>
      <c r="K68" s="9" t="s">
        <v>37</v>
      </c>
      <c r="L68" s="49" t="s">
        <v>381</v>
      </c>
      <c r="M68" s="49" t="s">
        <v>381</v>
      </c>
      <c r="N68" s="49" t="s">
        <v>381</v>
      </c>
      <c r="O68" s="49" t="s">
        <v>381</v>
      </c>
      <c r="P68" s="49" t="s">
        <v>381</v>
      </c>
      <c r="Q68" s="49" t="s">
        <v>381</v>
      </c>
      <c r="R68" s="30" t="str">
        <f t="shared" si="1"/>
        <v/>
      </c>
      <c r="S68" s="30" t="str">
        <f t="shared" si="2"/>
        <v/>
      </c>
      <c r="T68" s="30" t="str">
        <f t="shared" si="3"/>
        <v/>
      </c>
      <c r="U68" s="30" t="str">
        <f t="shared" si="4"/>
        <v/>
      </c>
      <c r="V68" s="30" t="str">
        <f t="shared" si="5"/>
        <v/>
      </c>
      <c r="W68" s="30" t="str">
        <f t="shared" si="6"/>
        <v/>
      </c>
      <c r="X68" s="30" t="str">
        <f t="shared" si="7"/>
        <v/>
      </c>
    </row>
    <row r="69" spans="1:54" ht="13.85" customHeight="1" x14ac:dyDescent="0.3">
      <c r="A69" s="46" t="s">
        <v>173</v>
      </c>
      <c r="B69" s="110"/>
      <c r="C69" s="53"/>
      <c r="D69" s="53"/>
      <c r="E69" s="53"/>
      <c r="F69" s="54"/>
      <c r="G69" s="54"/>
      <c r="H69" s="54"/>
      <c r="I69" s="54"/>
      <c r="J69" s="54"/>
      <c r="K69" s="54"/>
      <c r="L69" s="39"/>
      <c r="M69" s="39"/>
      <c r="N69" s="39"/>
      <c r="O69" s="39"/>
      <c r="P69" s="39"/>
      <c r="Q69" s="39"/>
      <c r="R69" s="30" t="str">
        <f t="shared" si="1"/>
        <v/>
      </c>
      <c r="S69" s="30" t="str">
        <f t="shared" si="2"/>
        <v/>
      </c>
      <c r="T69" s="30" t="str">
        <f t="shared" si="3"/>
        <v/>
      </c>
      <c r="U69" s="30" t="str">
        <f t="shared" si="4"/>
        <v/>
      </c>
      <c r="V69" s="30" t="str">
        <f t="shared" si="5"/>
        <v/>
      </c>
      <c r="W69" s="30" t="str">
        <f t="shared" si="6"/>
        <v/>
      </c>
      <c r="X69" s="30" t="str">
        <f t="shared" si="7"/>
        <v/>
      </c>
    </row>
    <row r="70" spans="1:54" ht="22.2" customHeight="1" x14ac:dyDescent="0.3">
      <c r="A70" s="51" t="str">
        <f>IF(ISNA(VLOOKUP(B70,Shortlist_xref!$A$5:$B$77,2,FALSE))=TRUE,"-",VLOOKUP(B70,Shortlist_xref!$A$5:$B$77,2,FALSE))</f>
        <v>-</v>
      </c>
      <c r="B70" s="109" t="s">
        <v>811</v>
      </c>
      <c r="C70" s="36" t="s">
        <v>812</v>
      </c>
      <c r="D70" s="36" t="s">
        <v>813</v>
      </c>
      <c r="E70" s="36" t="s">
        <v>12</v>
      </c>
      <c r="F70" s="9">
        <v>196.34945023930212</v>
      </c>
      <c r="G70" s="9">
        <v>54.473327833132011</v>
      </c>
      <c r="H70" s="9">
        <v>145.88552147189156</v>
      </c>
      <c r="I70" s="9">
        <v>26.347609390996396</v>
      </c>
      <c r="J70" s="9">
        <v>80.007439014516009</v>
      </c>
      <c r="K70" s="9">
        <v>53.367554315199804</v>
      </c>
      <c r="L70" s="49" t="s">
        <v>381</v>
      </c>
      <c r="M70" s="49" t="s">
        <v>381</v>
      </c>
      <c r="N70" s="49" t="s">
        <v>381</v>
      </c>
      <c r="O70" s="49" t="s">
        <v>381</v>
      </c>
      <c r="P70" s="49" t="s">
        <v>381</v>
      </c>
      <c r="Q70" s="49" t="s">
        <v>381</v>
      </c>
      <c r="R70" s="30" t="str">
        <f t="shared" ref="R70:R113" si="8">IF(L70="","",HLOOKUP(L$2,$R$1:$W$2,2,FALSE))</f>
        <v/>
      </c>
      <c r="S70" s="30" t="str">
        <f t="shared" ref="S70:S113" si="9">IF(M70="","",HLOOKUP(M$2,$R$1:$W$2,2,FALSE))</f>
        <v/>
      </c>
      <c r="T70" s="30" t="str">
        <f t="shared" ref="T70:T113" si="10">IF(N70="","",HLOOKUP(N$2,$R$1:$W$2,2,FALSE))</f>
        <v/>
      </c>
      <c r="U70" s="30" t="str">
        <f t="shared" ref="U70:U113" si="11">IF(O70="","",HLOOKUP(O$2,$R$1:$W$2,2,FALSE))</f>
        <v/>
      </c>
      <c r="V70" s="30" t="str">
        <f t="shared" ref="V70:V113" si="12">IF(P70="","",HLOOKUP(P$2,$R$1:$W$2,2,FALSE))</f>
        <v/>
      </c>
      <c r="W70" s="30" t="str">
        <f t="shared" ref="W70:W113" si="13">IF(Q70="","",HLOOKUP(Q$2,$R$1:$W$2,2,FALSE))</f>
        <v/>
      </c>
      <c r="X70" s="30" t="str">
        <f t="shared" ref="X70:X112" si="14">R70&amp;S70&amp;T70&amp;U70&amp;V70&amp;W70</f>
        <v/>
      </c>
    </row>
    <row r="71" spans="1:54" ht="22.2" customHeight="1" x14ac:dyDescent="0.3">
      <c r="A71" s="51" t="str">
        <f>IF(ISNA(VLOOKUP(B71,Shortlist_xref!$A$5:$B$77,2,FALSE))=TRUE,"-",VLOOKUP(B71,Shortlist_xref!$A$5:$B$77,2,FALSE))</f>
        <v>-</v>
      </c>
      <c r="B71" s="109" t="s">
        <v>818</v>
      </c>
      <c r="C71" s="36" t="s">
        <v>174</v>
      </c>
      <c r="D71" s="36" t="s">
        <v>819</v>
      </c>
      <c r="E71" s="36" t="s">
        <v>12</v>
      </c>
      <c r="F71" s="9">
        <v>0.58133603213700002</v>
      </c>
      <c r="G71" s="9">
        <v>0.96409099895082229</v>
      </c>
      <c r="H71" s="9">
        <v>22.046610955214316</v>
      </c>
      <c r="I71" s="9">
        <v>2.3230879131902826</v>
      </c>
      <c r="J71" s="9">
        <v>2.5341905048956344</v>
      </c>
      <c r="K71" s="9">
        <v>2.9971863281675724</v>
      </c>
      <c r="L71" s="49" t="s">
        <v>381</v>
      </c>
      <c r="M71" s="49" t="s">
        <v>381</v>
      </c>
      <c r="N71" s="49" t="s">
        <v>381</v>
      </c>
      <c r="O71" s="49" t="s">
        <v>381</v>
      </c>
      <c r="P71" s="49" t="s">
        <v>381</v>
      </c>
      <c r="Q71" s="49" t="s">
        <v>381</v>
      </c>
      <c r="R71" s="30" t="str">
        <f t="shared" si="8"/>
        <v/>
      </c>
      <c r="S71" s="30" t="str">
        <f t="shared" si="9"/>
        <v/>
      </c>
      <c r="T71" s="30" t="str">
        <f t="shared" si="10"/>
        <v/>
      </c>
      <c r="U71" s="30" t="str">
        <f t="shared" si="11"/>
        <v/>
      </c>
      <c r="V71" s="30" t="str">
        <f t="shared" si="12"/>
        <v/>
      </c>
      <c r="W71" s="30" t="str">
        <f t="shared" si="13"/>
        <v/>
      </c>
      <c r="X71" s="30" t="str">
        <f t="shared" si="14"/>
        <v/>
      </c>
    </row>
    <row r="72" spans="1:54" ht="22.2" customHeight="1" x14ac:dyDescent="0.3">
      <c r="A72" s="51" t="str">
        <f>IF(ISNA(VLOOKUP(B72,Shortlist_xref!$A$5:$B$77,2,FALSE))=TRUE,"-",VLOOKUP(B72,Shortlist_xref!$A$5:$B$77,2,FALSE))</f>
        <v>-</v>
      </c>
      <c r="B72" s="109" t="s">
        <v>823</v>
      </c>
      <c r="C72" s="36" t="s">
        <v>174</v>
      </c>
      <c r="D72" s="36" t="s">
        <v>824</v>
      </c>
      <c r="E72" s="36" t="s">
        <v>12</v>
      </c>
      <c r="F72" s="9">
        <v>0.28991078730770131</v>
      </c>
      <c r="G72" s="9">
        <v>5.3964528175436675</v>
      </c>
      <c r="H72" s="9">
        <v>3.1722151788027633</v>
      </c>
      <c r="I72" s="9">
        <v>6.6132544097568964</v>
      </c>
      <c r="J72" s="9">
        <v>0.34202280638490928</v>
      </c>
      <c r="K72" s="9">
        <v>1.001148051499497</v>
      </c>
      <c r="L72" s="49" t="s">
        <v>381</v>
      </c>
      <c r="M72" s="49" t="s">
        <v>381</v>
      </c>
      <c r="N72" s="49" t="s">
        <v>381</v>
      </c>
      <c r="O72" s="49" t="s">
        <v>381</v>
      </c>
      <c r="P72" s="49" t="s">
        <v>381</v>
      </c>
      <c r="Q72" s="49" t="s">
        <v>381</v>
      </c>
      <c r="R72" s="30" t="str">
        <f t="shared" si="8"/>
        <v/>
      </c>
      <c r="S72" s="30" t="str">
        <f t="shared" si="9"/>
        <v/>
      </c>
      <c r="T72" s="30" t="str">
        <f t="shared" si="10"/>
        <v/>
      </c>
      <c r="U72" s="30" t="str">
        <f t="shared" si="11"/>
        <v/>
      </c>
      <c r="V72" s="30" t="str">
        <f t="shared" si="12"/>
        <v/>
      </c>
      <c r="W72" s="30" t="str">
        <f t="shared" si="13"/>
        <v/>
      </c>
      <c r="X72" s="30" t="str">
        <f t="shared" si="14"/>
        <v/>
      </c>
    </row>
    <row r="73" spans="1:54" ht="22.2" customHeight="1" x14ac:dyDescent="0.3">
      <c r="A73" s="51" t="str">
        <f>IF(ISNA(VLOOKUP(B73,Shortlist_xref!$A$5:$B$77,2,FALSE))=TRUE,"-",VLOOKUP(B73,Shortlist_xref!$A$5:$B$77,2,FALSE))</f>
        <v>-</v>
      </c>
      <c r="B73" s="109" t="s">
        <v>832</v>
      </c>
      <c r="C73" s="36" t="s">
        <v>812</v>
      </c>
      <c r="D73" s="36" t="s">
        <v>833</v>
      </c>
      <c r="E73" s="36" t="s">
        <v>12</v>
      </c>
      <c r="F73" s="9">
        <v>151.03803864561701</v>
      </c>
      <c r="G73" s="9">
        <v>41.902559871640008</v>
      </c>
      <c r="H73" s="9">
        <v>112.21963190145505</v>
      </c>
      <c r="I73" s="9">
        <v>20.267391839227997</v>
      </c>
      <c r="J73" s="9">
        <v>61.544183857320007</v>
      </c>
      <c r="K73" s="9">
        <v>41.051964857846002</v>
      </c>
      <c r="L73" s="49" t="s">
        <v>381</v>
      </c>
      <c r="M73" s="49" t="s">
        <v>381</v>
      </c>
      <c r="N73" s="49" t="s">
        <v>381</v>
      </c>
      <c r="O73" s="49" t="s">
        <v>381</v>
      </c>
      <c r="P73" s="49" t="s">
        <v>381</v>
      </c>
      <c r="Q73" s="49" t="s">
        <v>381</v>
      </c>
      <c r="R73" s="30" t="str">
        <f t="shared" si="8"/>
        <v/>
      </c>
      <c r="S73" s="30" t="str">
        <f t="shared" si="9"/>
        <v/>
      </c>
      <c r="T73" s="30" t="str">
        <f t="shared" si="10"/>
        <v/>
      </c>
      <c r="U73" s="30" t="str">
        <f t="shared" si="11"/>
        <v/>
      </c>
      <c r="V73" s="30" t="str">
        <f t="shared" si="12"/>
        <v/>
      </c>
      <c r="W73" s="30" t="str">
        <f t="shared" si="13"/>
        <v/>
      </c>
      <c r="X73" s="30" t="str">
        <f t="shared" si="14"/>
        <v/>
      </c>
    </row>
    <row r="74" spans="1:54" ht="22.2" customHeight="1" x14ac:dyDescent="0.3">
      <c r="A74" s="51" t="str">
        <f>IF(ISNA(VLOOKUP(B74,Shortlist_xref!$A$5:$B$77,2,FALSE))=TRUE,"-",VLOOKUP(B74,Shortlist_xref!$A$5:$B$77,2,FALSE))</f>
        <v>EmissRed</v>
      </c>
      <c r="B74" s="109" t="s">
        <v>175</v>
      </c>
      <c r="C74" s="36" t="s">
        <v>174</v>
      </c>
      <c r="D74" s="36" t="s">
        <v>176</v>
      </c>
      <c r="E74" s="36" t="s">
        <v>12</v>
      </c>
      <c r="F74" s="9">
        <v>34.31077264556275</v>
      </c>
      <c r="G74" s="9">
        <v>19.90438177943</v>
      </c>
      <c r="H74" s="9">
        <v>1388.6648500761626</v>
      </c>
      <c r="I74" s="9">
        <v>106.64986456876525</v>
      </c>
      <c r="J74" s="9">
        <v>147.63523579524974</v>
      </c>
      <c r="K74" s="9">
        <v>172.9781190526725</v>
      </c>
      <c r="L74" s="49" t="s">
        <v>381</v>
      </c>
      <c r="M74" s="49" t="s">
        <v>381</v>
      </c>
      <c r="N74" s="49" t="s">
        <v>381</v>
      </c>
      <c r="O74" s="49" t="s">
        <v>381</v>
      </c>
      <c r="P74" s="49" t="s">
        <v>381</v>
      </c>
      <c r="Q74" s="49" t="s">
        <v>381</v>
      </c>
      <c r="R74" s="30" t="str">
        <f t="shared" si="8"/>
        <v/>
      </c>
      <c r="S74" s="30" t="str">
        <f t="shared" si="9"/>
        <v/>
      </c>
      <c r="T74" s="30" t="str">
        <f t="shared" si="10"/>
        <v/>
      </c>
      <c r="U74" s="30" t="str">
        <f t="shared" si="11"/>
        <v/>
      </c>
      <c r="V74" s="30" t="str">
        <f t="shared" si="12"/>
        <v/>
      </c>
      <c r="W74" s="30" t="str">
        <f t="shared" si="13"/>
        <v/>
      </c>
      <c r="X74" s="30" t="str">
        <f t="shared" si="14"/>
        <v/>
      </c>
      <c r="Y74" s="48"/>
      <c r="Z74" s="48"/>
      <c r="AA74" s="48"/>
      <c r="AB74" s="48"/>
      <c r="AC74" s="48"/>
      <c r="AD74" s="48"/>
      <c r="AE74" s="48"/>
      <c r="AF74" s="48"/>
      <c r="AG74" s="48"/>
      <c r="AH74" s="48"/>
      <c r="AI74" s="48"/>
      <c r="AJ74" s="48"/>
      <c r="AK74" s="48"/>
      <c r="AL74" s="48"/>
      <c r="AM74" s="48"/>
      <c r="AN74" s="48"/>
      <c r="AO74" s="48"/>
      <c r="AP74" s="48"/>
      <c r="AQ74" s="48"/>
      <c r="AR74" s="48"/>
      <c r="AS74" s="48"/>
      <c r="AT74" s="48"/>
      <c r="AU74" s="48"/>
      <c r="AV74" s="48"/>
      <c r="AW74" s="48"/>
      <c r="AX74" s="48"/>
      <c r="AY74" s="48"/>
      <c r="AZ74" s="48"/>
      <c r="BA74" s="48"/>
      <c r="BB74" s="48"/>
    </row>
    <row r="75" spans="1:54" ht="22.2" customHeight="1" x14ac:dyDescent="0.3">
      <c r="A75" s="51" t="str">
        <f>IF(ISNA(VLOOKUP(B75,Shortlist_xref!$A$5:$B$77,2,FALSE))=TRUE,"-",VLOOKUP(B75,Shortlist_xref!$A$5:$B$77,2,FALSE))</f>
        <v>-</v>
      </c>
      <c r="B75" s="109" t="s">
        <v>841</v>
      </c>
      <c r="C75" s="36" t="s">
        <v>174</v>
      </c>
      <c r="D75" s="36" t="s">
        <v>842</v>
      </c>
      <c r="E75" s="36" t="s">
        <v>12</v>
      </c>
      <c r="F75" s="9">
        <v>0</v>
      </c>
      <c r="G75" s="9">
        <v>0</v>
      </c>
      <c r="H75" s="9">
        <v>0</v>
      </c>
      <c r="I75" s="9">
        <v>0</v>
      </c>
      <c r="J75" s="9">
        <v>0</v>
      </c>
      <c r="K75" s="9">
        <v>0</v>
      </c>
      <c r="L75" s="49" t="s">
        <v>381</v>
      </c>
      <c r="M75" s="49" t="s">
        <v>381</v>
      </c>
      <c r="N75" s="49" t="s">
        <v>381</v>
      </c>
      <c r="O75" s="49" t="s">
        <v>381</v>
      </c>
      <c r="P75" s="49" t="s">
        <v>381</v>
      </c>
      <c r="Q75" s="49" t="s">
        <v>381</v>
      </c>
      <c r="R75" s="30" t="str">
        <f t="shared" si="8"/>
        <v/>
      </c>
      <c r="S75" s="30" t="str">
        <f t="shared" si="9"/>
        <v/>
      </c>
      <c r="T75" s="30" t="str">
        <f t="shared" si="10"/>
        <v/>
      </c>
      <c r="U75" s="30" t="str">
        <f t="shared" si="11"/>
        <v/>
      </c>
      <c r="V75" s="30" t="str">
        <f t="shared" si="12"/>
        <v/>
      </c>
      <c r="W75" s="30" t="str">
        <f t="shared" si="13"/>
        <v/>
      </c>
      <c r="X75" s="30" t="str">
        <f t="shared" si="14"/>
        <v/>
      </c>
    </row>
    <row r="76" spans="1:54" ht="22.2" customHeight="1" x14ac:dyDescent="0.3">
      <c r="A76" s="51" t="str">
        <f>IF(ISNA(VLOOKUP(B76,Shortlist_xref!$A$5:$B$77,2,FALSE))=TRUE,"-",VLOOKUP(B76,Shortlist_xref!$A$5:$B$77,2,FALSE))</f>
        <v>-</v>
      </c>
      <c r="B76" s="109" t="s">
        <v>844</v>
      </c>
      <c r="C76" s="36" t="s">
        <v>174</v>
      </c>
      <c r="D76" s="36" t="s">
        <v>845</v>
      </c>
      <c r="E76" s="36" t="s">
        <v>12</v>
      </c>
      <c r="F76" s="9">
        <v>1.1780758691146846</v>
      </c>
      <c r="G76" s="9">
        <v>1.7113066631230389</v>
      </c>
      <c r="H76" s="9">
        <v>47.246942374616602</v>
      </c>
      <c r="I76" s="9">
        <v>4.4253026425391173</v>
      </c>
      <c r="J76" s="9">
        <v>5.0943980020809185</v>
      </c>
      <c r="K76" s="9">
        <v>6.0286238105519425</v>
      </c>
      <c r="L76" s="49" t="s">
        <v>381</v>
      </c>
      <c r="M76" s="49" t="s">
        <v>381</v>
      </c>
      <c r="N76" s="49" t="s">
        <v>381</v>
      </c>
      <c r="O76" s="49" t="s">
        <v>381</v>
      </c>
      <c r="P76" s="49" t="s">
        <v>381</v>
      </c>
      <c r="Q76" s="49" t="s">
        <v>381</v>
      </c>
      <c r="R76" s="30" t="str">
        <f t="shared" si="8"/>
        <v/>
      </c>
      <c r="S76" s="30" t="str">
        <f t="shared" si="9"/>
        <v/>
      </c>
      <c r="T76" s="30" t="str">
        <f t="shared" si="10"/>
        <v/>
      </c>
      <c r="U76" s="30" t="str">
        <f t="shared" si="11"/>
        <v/>
      </c>
      <c r="V76" s="30" t="str">
        <f t="shared" si="12"/>
        <v/>
      </c>
      <c r="W76" s="30" t="str">
        <f t="shared" si="13"/>
        <v/>
      </c>
      <c r="X76" s="30" t="str">
        <f t="shared" si="14"/>
        <v/>
      </c>
    </row>
    <row r="77" spans="1:54" ht="22.2" customHeight="1" x14ac:dyDescent="0.3">
      <c r="A77" s="51" t="str">
        <f>IF(ISNA(VLOOKUP(B77,Shortlist_xref!$A$5:$B$77,2,FALSE))=TRUE,"-",VLOOKUP(B77,Shortlist_xref!$A$5:$B$77,2,FALSE))</f>
        <v>-</v>
      </c>
      <c r="B77" s="109" t="s">
        <v>846</v>
      </c>
      <c r="C77" s="36" t="s">
        <v>174</v>
      </c>
      <c r="D77" s="36" t="s">
        <v>847</v>
      </c>
      <c r="E77" s="36" t="s">
        <v>12</v>
      </c>
      <c r="F77" s="9">
        <v>0.27719432214463174</v>
      </c>
      <c r="G77" s="9">
        <v>0.40266039132306802</v>
      </c>
      <c r="H77" s="9">
        <v>11.116927617556847</v>
      </c>
      <c r="I77" s="9">
        <v>1.0412476805974396</v>
      </c>
      <c r="J77" s="9">
        <v>1.1986818828425692</v>
      </c>
      <c r="K77" s="9">
        <v>1.418499720129869</v>
      </c>
      <c r="L77" s="49" t="s">
        <v>381</v>
      </c>
      <c r="M77" s="49" t="s">
        <v>381</v>
      </c>
      <c r="N77" s="49" t="s">
        <v>381</v>
      </c>
      <c r="O77" s="49" t="s">
        <v>381</v>
      </c>
      <c r="P77" s="49" t="s">
        <v>381</v>
      </c>
      <c r="Q77" s="49" t="s">
        <v>381</v>
      </c>
      <c r="R77" s="30" t="str">
        <f t="shared" si="8"/>
        <v/>
      </c>
      <c r="S77" s="30" t="str">
        <f t="shared" si="9"/>
        <v/>
      </c>
      <c r="T77" s="30" t="str">
        <f t="shared" si="10"/>
        <v/>
      </c>
      <c r="U77" s="30" t="str">
        <f t="shared" si="11"/>
        <v/>
      </c>
      <c r="V77" s="30" t="str">
        <f t="shared" si="12"/>
        <v/>
      </c>
      <c r="W77" s="30" t="str">
        <f t="shared" si="13"/>
        <v/>
      </c>
      <c r="X77" s="30" t="str">
        <f t="shared" si="14"/>
        <v/>
      </c>
    </row>
    <row r="78" spans="1:54" ht="22.2" customHeight="1" x14ac:dyDescent="0.3">
      <c r="A78" s="51" t="str">
        <f>IF(ISNA(VLOOKUP(B78,Shortlist_xref!$A$5:$B$77,2,FALSE))=TRUE,"-",VLOOKUP(B78,Shortlist_xref!$A$5:$B$77,2,FALSE))</f>
        <v>-</v>
      </c>
      <c r="B78" s="109" t="s">
        <v>848</v>
      </c>
      <c r="C78" s="36" t="s">
        <v>174</v>
      </c>
      <c r="D78" s="36" t="s">
        <v>849</v>
      </c>
      <c r="E78" s="36" t="s">
        <v>12</v>
      </c>
      <c r="F78" s="9">
        <v>0.41524002295500007</v>
      </c>
      <c r="G78" s="9">
        <v>0.68863642782201595</v>
      </c>
      <c r="H78" s="9">
        <v>15.747579253724512</v>
      </c>
      <c r="I78" s="9">
        <v>1.6593485094216305</v>
      </c>
      <c r="J78" s="9">
        <v>1.8101360749254534</v>
      </c>
      <c r="K78" s="9">
        <v>2.1408473772625518</v>
      </c>
      <c r="L78" s="49" t="s">
        <v>381</v>
      </c>
      <c r="M78" s="49" t="s">
        <v>381</v>
      </c>
      <c r="N78" s="49" t="s">
        <v>381</v>
      </c>
      <c r="O78" s="49" t="s">
        <v>381</v>
      </c>
      <c r="P78" s="49" t="s">
        <v>381</v>
      </c>
      <c r="Q78" s="49" t="s">
        <v>381</v>
      </c>
      <c r="R78" s="30" t="str">
        <f t="shared" si="8"/>
        <v/>
      </c>
      <c r="S78" s="30" t="str">
        <f t="shared" si="9"/>
        <v/>
      </c>
      <c r="T78" s="30" t="str">
        <f t="shared" si="10"/>
        <v/>
      </c>
      <c r="U78" s="30" t="str">
        <f t="shared" si="11"/>
        <v/>
      </c>
      <c r="V78" s="30" t="str">
        <f t="shared" si="12"/>
        <v/>
      </c>
      <c r="W78" s="30" t="str">
        <f t="shared" si="13"/>
        <v/>
      </c>
      <c r="X78" s="30" t="str">
        <f t="shared" si="14"/>
        <v/>
      </c>
    </row>
    <row r="79" spans="1:54" ht="22.2" customHeight="1" x14ac:dyDescent="0.3">
      <c r="A79" s="51" t="str">
        <f>IF(ISNA(VLOOKUP(B79,Shortlist_xref!$A$5:$B$77,2,FALSE))=TRUE,"-",VLOOKUP(B79,Shortlist_xref!$A$5:$B$77,2,FALSE))</f>
        <v>-</v>
      </c>
      <c r="B79" s="109" t="s">
        <v>850</v>
      </c>
      <c r="C79" s="36" t="s">
        <v>174</v>
      </c>
      <c r="D79" s="36" t="s">
        <v>851</v>
      </c>
      <c r="E79" s="36" t="s">
        <v>12</v>
      </c>
      <c r="F79" s="9">
        <v>0.83048004591000013</v>
      </c>
      <c r="G79" s="9">
        <v>1.3772728556440319</v>
      </c>
      <c r="H79" s="9">
        <v>31.495158507449023</v>
      </c>
      <c r="I79" s="9">
        <v>3.318697018843261</v>
      </c>
      <c r="J79" s="9">
        <v>3.6202721498509067</v>
      </c>
      <c r="K79" s="9">
        <v>4.2816947545251036</v>
      </c>
      <c r="L79" s="49" t="s">
        <v>381</v>
      </c>
      <c r="M79" s="49" t="s">
        <v>381</v>
      </c>
      <c r="N79" s="49" t="s">
        <v>381</v>
      </c>
      <c r="O79" s="49" t="s">
        <v>381</v>
      </c>
      <c r="P79" s="49" t="s">
        <v>381</v>
      </c>
      <c r="Q79" s="49" t="s">
        <v>381</v>
      </c>
      <c r="R79" s="30" t="str">
        <f t="shared" si="8"/>
        <v/>
      </c>
      <c r="S79" s="30" t="str">
        <f t="shared" si="9"/>
        <v/>
      </c>
      <c r="T79" s="30" t="str">
        <f t="shared" si="10"/>
        <v/>
      </c>
      <c r="U79" s="30" t="str">
        <f t="shared" si="11"/>
        <v/>
      </c>
      <c r="V79" s="30" t="str">
        <f t="shared" si="12"/>
        <v/>
      </c>
      <c r="W79" s="30" t="str">
        <f t="shared" si="13"/>
        <v/>
      </c>
      <c r="X79" s="30" t="str">
        <f t="shared" si="14"/>
        <v/>
      </c>
    </row>
    <row r="80" spans="1:54" x14ac:dyDescent="0.3">
      <c r="A80" s="46" t="s">
        <v>177</v>
      </c>
      <c r="B80" s="110"/>
      <c r="C80" s="53"/>
      <c r="D80" s="53"/>
      <c r="E80" s="53"/>
      <c r="F80" s="54"/>
      <c r="G80" s="54"/>
      <c r="H80" s="54"/>
      <c r="I80" s="54"/>
      <c r="J80" s="54"/>
      <c r="K80" s="54"/>
      <c r="L80" s="28"/>
      <c r="M80" s="28"/>
      <c r="N80" s="28"/>
      <c r="O80" s="28"/>
      <c r="P80" s="28"/>
      <c r="Q80" s="28"/>
      <c r="R80" s="30" t="str">
        <f t="shared" si="8"/>
        <v/>
      </c>
      <c r="S80" s="30" t="str">
        <f t="shared" si="9"/>
        <v/>
      </c>
      <c r="T80" s="30" t="str">
        <f t="shared" si="10"/>
        <v/>
      </c>
      <c r="U80" s="30" t="str">
        <f t="shared" si="11"/>
        <v/>
      </c>
      <c r="V80" s="30" t="str">
        <f t="shared" si="12"/>
        <v/>
      </c>
      <c r="W80" s="30" t="str">
        <f t="shared" si="13"/>
        <v/>
      </c>
      <c r="X80" s="30" t="str">
        <f t="shared" si="14"/>
        <v/>
      </c>
      <c r="Y80" s="48"/>
      <c r="Z80" s="48"/>
      <c r="AA80" s="48"/>
      <c r="AB80" s="48"/>
      <c r="AC80" s="48"/>
      <c r="AD80" s="48"/>
      <c r="AE80" s="48"/>
      <c r="AF80" s="48"/>
      <c r="AG80" s="48"/>
      <c r="AH80" s="48"/>
      <c r="AI80" s="48"/>
      <c r="AJ80" s="48"/>
      <c r="AK80" s="48"/>
      <c r="AL80" s="48"/>
      <c r="AM80" s="48"/>
      <c r="AN80" s="48"/>
      <c r="AO80" s="48"/>
      <c r="AP80" s="48"/>
      <c r="AQ80" s="48"/>
      <c r="AR80" s="48"/>
      <c r="AS80" s="48"/>
      <c r="AT80" s="48"/>
      <c r="AU80" s="48"/>
      <c r="AV80" s="48"/>
      <c r="AW80" s="48"/>
      <c r="AX80" s="48"/>
      <c r="AY80" s="48"/>
      <c r="AZ80" s="48"/>
      <c r="BA80" s="48"/>
      <c r="BB80" s="48"/>
    </row>
    <row r="81" spans="1:24" ht="22.2" customHeight="1" x14ac:dyDescent="0.3">
      <c r="A81" s="51" t="str">
        <f>IF(ISNA(VLOOKUP(B81,Shortlist_xref!$A$5:$B$77,2,FALSE))=TRUE,"-",VLOOKUP(B81,Shortlist_xref!$A$5:$B$77,2,FALSE))</f>
        <v>-</v>
      </c>
      <c r="B81" s="109" t="s">
        <v>852</v>
      </c>
      <c r="C81" s="36" t="s">
        <v>853</v>
      </c>
      <c r="D81" s="36" t="s">
        <v>854</v>
      </c>
      <c r="E81" s="36" t="s">
        <v>12</v>
      </c>
      <c r="F81" s="9" t="s">
        <v>37</v>
      </c>
      <c r="G81" s="9" t="s">
        <v>37</v>
      </c>
      <c r="H81" s="9" t="s">
        <v>37</v>
      </c>
      <c r="I81" s="9" t="s">
        <v>37</v>
      </c>
      <c r="J81" s="9" t="s">
        <v>37</v>
      </c>
      <c r="K81" s="9" t="s">
        <v>37</v>
      </c>
      <c r="L81" s="49" t="s">
        <v>381</v>
      </c>
      <c r="M81" s="49" t="s">
        <v>381</v>
      </c>
      <c r="N81" s="49" t="s">
        <v>381</v>
      </c>
      <c r="O81" s="49" t="s">
        <v>381</v>
      </c>
      <c r="P81" s="49" t="s">
        <v>381</v>
      </c>
      <c r="Q81" s="49" t="s">
        <v>381</v>
      </c>
      <c r="R81" s="30" t="str">
        <f t="shared" si="8"/>
        <v/>
      </c>
      <c r="S81" s="30" t="str">
        <f t="shared" si="9"/>
        <v/>
      </c>
      <c r="T81" s="30" t="str">
        <f t="shared" si="10"/>
        <v/>
      </c>
      <c r="U81" s="30" t="str">
        <f t="shared" si="11"/>
        <v/>
      </c>
      <c r="V81" s="30" t="str">
        <f t="shared" si="12"/>
        <v/>
      </c>
      <c r="W81" s="30" t="str">
        <f t="shared" si="13"/>
        <v/>
      </c>
      <c r="X81" s="30" t="str">
        <f t="shared" si="14"/>
        <v/>
      </c>
    </row>
    <row r="82" spans="1:24" ht="22.2" customHeight="1" x14ac:dyDescent="0.3">
      <c r="A82" s="51" t="str">
        <f>IF(ISNA(VLOOKUP(B82,Shortlist_xref!$A$5:$B$77,2,FALSE))=TRUE,"-",VLOOKUP(B82,Shortlist_xref!$A$5:$B$77,2,FALSE))</f>
        <v>CE</v>
      </c>
      <c r="B82" s="109" t="s">
        <v>206</v>
      </c>
      <c r="C82" s="36" t="s">
        <v>178</v>
      </c>
      <c r="D82" s="36" t="s">
        <v>207</v>
      </c>
      <c r="E82" s="36" t="s">
        <v>12</v>
      </c>
      <c r="F82" s="108">
        <v>3.1725554523373685</v>
      </c>
      <c r="G82" s="108">
        <v>0.55212833732560529</v>
      </c>
      <c r="H82" s="108">
        <v>1.3464455557193551</v>
      </c>
      <c r="I82" s="108">
        <v>1.1203154829809105</v>
      </c>
      <c r="J82" s="108">
        <v>0.66240811686197332</v>
      </c>
      <c r="K82" s="108">
        <v>0.41014272099294008</v>
      </c>
      <c r="L82" s="49" t="s">
        <v>381</v>
      </c>
      <c r="M82" s="49" t="s">
        <v>381</v>
      </c>
      <c r="N82" s="49" t="s">
        <v>381</v>
      </c>
      <c r="O82" s="49" t="s">
        <v>381</v>
      </c>
      <c r="P82" s="49" t="s">
        <v>381</v>
      </c>
      <c r="Q82" s="49" t="s">
        <v>381</v>
      </c>
      <c r="R82" s="30" t="str">
        <f t="shared" si="8"/>
        <v/>
      </c>
      <c r="S82" s="30" t="str">
        <f t="shared" si="9"/>
        <v/>
      </c>
      <c r="T82" s="30" t="str">
        <f t="shared" si="10"/>
        <v/>
      </c>
      <c r="U82" s="30" t="str">
        <f t="shared" si="11"/>
        <v/>
      </c>
      <c r="V82" s="30" t="str">
        <f t="shared" si="12"/>
        <v/>
      </c>
      <c r="W82" s="30" t="str">
        <f t="shared" si="13"/>
        <v/>
      </c>
      <c r="X82" s="30" t="str">
        <f t="shared" si="14"/>
        <v/>
      </c>
    </row>
    <row r="83" spans="1:24" ht="22.2" customHeight="1" x14ac:dyDescent="0.3">
      <c r="A83" s="51" t="str">
        <f>IF(ISNA(VLOOKUP(B83,Shortlist_xref!$A$5:$B$77,2,FALSE))=TRUE,"-",VLOOKUP(B83,Shortlist_xref!$A$5:$B$77,2,FALSE))</f>
        <v>CE</v>
      </c>
      <c r="B83" s="109" t="s">
        <v>206</v>
      </c>
      <c r="C83" s="36" t="s">
        <v>178</v>
      </c>
      <c r="D83" s="36" t="s">
        <v>207</v>
      </c>
      <c r="E83" s="36" t="s">
        <v>53</v>
      </c>
      <c r="F83" s="55">
        <v>0.47083962611657665</v>
      </c>
      <c r="G83" s="55">
        <v>7.9219084170424628E-2</v>
      </c>
      <c r="H83" s="55">
        <v>0.20126947818522897</v>
      </c>
      <c r="I83" s="55">
        <v>0.16307870339164052</v>
      </c>
      <c r="J83" s="55">
        <v>0.10061313623513848</v>
      </c>
      <c r="K83" s="55">
        <v>6.109892930586E-2</v>
      </c>
      <c r="L83" s="49" t="s">
        <v>381</v>
      </c>
      <c r="M83" s="49" t="s">
        <v>381</v>
      </c>
      <c r="N83" s="49" t="s">
        <v>381</v>
      </c>
      <c r="O83" s="49" t="s">
        <v>381</v>
      </c>
      <c r="P83" s="49" t="s">
        <v>381</v>
      </c>
      <c r="Q83" s="49" t="s">
        <v>381</v>
      </c>
      <c r="R83" s="30" t="str">
        <f t="shared" si="8"/>
        <v/>
      </c>
      <c r="S83" s="30" t="str">
        <f t="shared" si="9"/>
        <v/>
      </c>
      <c r="T83" s="30" t="str">
        <f t="shared" si="10"/>
        <v/>
      </c>
      <c r="U83" s="30" t="str">
        <f t="shared" si="11"/>
        <v/>
      </c>
      <c r="V83" s="30" t="str">
        <f t="shared" si="12"/>
        <v/>
      </c>
      <c r="W83" s="30" t="str">
        <f t="shared" si="13"/>
        <v/>
      </c>
      <c r="X83" s="30" t="str">
        <f t="shared" si="14"/>
        <v/>
      </c>
    </row>
    <row r="84" spans="1:24" ht="22.2" customHeight="1" x14ac:dyDescent="0.3">
      <c r="A84" s="51" t="str">
        <f>IF(ISNA(VLOOKUP(B84,Shortlist_xref!$A$5:$B$77,2,FALSE))=TRUE,"-",VLOOKUP(B84,Shortlist_xref!$A$5:$B$77,2,FALSE))</f>
        <v>-</v>
      </c>
      <c r="B84" s="109" t="s">
        <v>856</v>
      </c>
      <c r="C84" s="36" t="s">
        <v>178</v>
      </c>
      <c r="D84" s="36" t="s">
        <v>773</v>
      </c>
      <c r="E84" s="36" t="s">
        <v>12</v>
      </c>
      <c r="F84" s="9">
        <v>4.8808545420574898</v>
      </c>
      <c r="G84" s="9">
        <v>0.84942821127016199</v>
      </c>
      <c r="H84" s="9">
        <v>2.0714547011066999</v>
      </c>
      <c r="I84" s="9">
        <v>1.723562281509093</v>
      </c>
      <c r="J84" s="9">
        <v>1.019089410556882</v>
      </c>
      <c r="K84" s="9">
        <v>0.63098880152760006</v>
      </c>
      <c r="L84" s="49" t="s">
        <v>381</v>
      </c>
      <c r="M84" s="49" t="s">
        <v>381</v>
      </c>
      <c r="N84" s="49" t="s">
        <v>381</v>
      </c>
      <c r="O84" s="49" t="s">
        <v>381</v>
      </c>
      <c r="P84" s="49" t="s">
        <v>381</v>
      </c>
      <c r="Q84" s="49" t="s">
        <v>381</v>
      </c>
      <c r="R84" s="30" t="str">
        <f t="shared" si="8"/>
        <v/>
      </c>
      <c r="S84" s="30" t="str">
        <f t="shared" si="9"/>
        <v/>
      </c>
      <c r="T84" s="30" t="str">
        <f t="shared" si="10"/>
        <v/>
      </c>
      <c r="U84" s="30" t="str">
        <f t="shared" si="11"/>
        <v/>
      </c>
      <c r="V84" s="30" t="str">
        <f t="shared" si="12"/>
        <v/>
      </c>
      <c r="W84" s="30" t="str">
        <f t="shared" si="13"/>
        <v/>
      </c>
      <c r="X84" s="30" t="str">
        <f t="shared" si="14"/>
        <v/>
      </c>
    </row>
    <row r="85" spans="1:24" ht="22.2" customHeight="1" x14ac:dyDescent="0.3">
      <c r="A85" s="51" t="str">
        <f>IF(ISNA(VLOOKUP(B85,Shortlist_xref!$A$5:$B$77,2,FALSE))=TRUE,"-",VLOOKUP(B85,Shortlist_xref!$A$5:$B$77,2,FALSE))</f>
        <v>-</v>
      </c>
      <c r="B85" s="109" t="s">
        <v>856</v>
      </c>
      <c r="C85" s="36" t="s">
        <v>178</v>
      </c>
      <c r="D85" s="36" t="s">
        <v>773</v>
      </c>
      <c r="E85" s="36" t="s">
        <v>53</v>
      </c>
      <c r="F85" s="9">
        <v>1.5694654203885889</v>
      </c>
      <c r="G85" s="9">
        <v>0.26406361390141542</v>
      </c>
      <c r="H85" s="9">
        <v>0.67089826061742996</v>
      </c>
      <c r="I85" s="9">
        <v>0.54359567797213504</v>
      </c>
      <c r="J85" s="9">
        <v>0.33537712078379495</v>
      </c>
      <c r="K85" s="9">
        <v>0.2036630976862</v>
      </c>
      <c r="L85" s="49" t="s">
        <v>381</v>
      </c>
      <c r="M85" s="49" t="s">
        <v>381</v>
      </c>
      <c r="N85" s="49" t="s">
        <v>381</v>
      </c>
      <c r="O85" s="49" t="s">
        <v>381</v>
      </c>
      <c r="P85" s="49" t="s">
        <v>381</v>
      </c>
      <c r="Q85" s="49" t="s">
        <v>381</v>
      </c>
      <c r="R85" s="30" t="str">
        <f t="shared" si="8"/>
        <v/>
      </c>
      <c r="S85" s="30" t="str">
        <f t="shared" si="9"/>
        <v/>
      </c>
      <c r="T85" s="30" t="str">
        <f t="shared" si="10"/>
        <v/>
      </c>
      <c r="U85" s="30" t="str">
        <f t="shared" si="11"/>
        <v/>
      </c>
      <c r="V85" s="30" t="str">
        <f t="shared" si="12"/>
        <v/>
      </c>
      <c r="W85" s="30" t="str">
        <f t="shared" si="13"/>
        <v/>
      </c>
      <c r="X85" s="30" t="str">
        <f t="shared" si="14"/>
        <v/>
      </c>
    </row>
    <row r="86" spans="1:24" x14ac:dyDescent="0.3">
      <c r="A86" s="46" t="s">
        <v>179</v>
      </c>
      <c r="B86" s="111"/>
      <c r="C86" s="56"/>
      <c r="D86" s="56"/>
      <c r="E86" s="56"/>
      <c r="F86" s="56"/>
      <c r="G86" s="56"/>
      <c r="H86" s="56"/>
      <c r="I86" s="56"/>
      <c r="J86" s="56"/>
      <c r="K86" s="56"/>
      <c r="L86" s="56"/>
      <c r="M86" s="56"/>
      <c r="N86" s="56"/>
      <c r="O86" s="56"/>
      <c r="P86" s="56"/>
      <c r="Q86" s="56"/>
      <c r="R86" s="30" t="str">
        <f t="shared" si="8"/>
        <v/>
      </c>
      <c r="S86" s="30" t="str">
        <f t="shared" si="9"/>
        <v/>
      </c>
      <c r="T86" s="30" t="str">
        <f t="shared" si="10"/>
        <v/>
      </c>
      <c r="U86" s="30" t="str">
        <f t="shared" si="11"/>
        <v/>
      </c>
      <c r="V86" s="30" t="str">
        <f t="shared" si="12"/>
        <v/>
      </c>
      <c r="W86" s="30" t="str">
        <f t="shared" si="13"/>
        <v/>
      </c>
      <c r="X86" s="30" t="str">
        <f t="shared" si="14"/>
        <v/>
      </c>
    </row>
    <row r="87" spans="1:24" x14ac:dyDescent="0.3">
      <c r="A87" s="51" t="str">
        <f>IF(ISNA(VLOOKUP(B87,Shortlist_xref!$A$5:$B$77,2,FALSE))=TRUE,"-",VLOOKUP(B87,Shortlist_xref!$A$5:$B$77,2,FALSE))</f>
        <v>CE</v>
      </c>
      <c r="B87" s="57" t="s">
        <v>180</v>
      </c>
      <c r="C87" s="58" t="s">
        <v>181</v>
      </c>
      <c r="D87" s="58" t="s">
        <v>182</v>
      </c>
      <c r="E87" s="58" t="s">
        <v>12</v>
      </c>
      <c r="F87" s="9">
        <v>5.0365491293457731</v>
      </c>
      <c r="G87" s="9">
        <v>4.6158789540947174</v>
      </c>
      <c r="H87" s="9">
        <v>5.6148941810799347</v>
      </c>
      <c r="I87" s="9">
        <v>3.8683608093387103</v>
      </c>
      <c r="J87" s="9">
        <v>6.9395565502234362</v>
      </c>
      <c r="K87" s="9">
        <v>3.0772103932632606</v>
      </c>
      <c r="L87" s="49" t="s">
        <v>381</v>
      </c>
      <c r="M87" s="49" t="s">
        <v>381</v>
      </c>
      <c r="N87" s="49" t="s">
        <v>381</v>
      </c>
      <c r="O87" s="49" t="s">
        <v>381</v>
      </c>
      <c r="P87" s="49" t="s">
        <v>381</v>
      </c>
      <c r="Q87" s="49" t="s">
        <v>381</v>
      </c>
      <c r="R87" s="30" t="str">
        <f t="shared" si="8"/>
        <v/>
      </c>
      <c r="S87" s="30" t="str">
        <f t="shared" si="9"/>
        <v/>
      </c>
      <c r="T87" s="30" t="str">
        <f t="shared" si="10"/>
        <v/>
      </c>
      <c r="U87" s="30" t="str">
        <f t="shared" si="11"/>
        <v/>
      </c>
      <c r="V87" s="30" t="str">
        <f t="shared" si="12"/>
        <v/>
      </c>
      <c r="W87" s="30" t="str">
        <f t="shared" si="13"/>
        <v/>
      </c>
      <c r="X87" s="30" t="str">
        <f t="shared" si="14"/>
        <v/>
      </c>
    </row>
    <row r="88" spans="1:24" x14ac:dyDescent="0.3">
      <c r="A88" s="51" t="str">
        <f>IF(ISNA(VLOOKUP(B88,Shortlist_xref!$A$5:$B$77,2,FALSE))=TRUE,"-",VLOOKUP(B88,Shortlist_xref!$A$5:$B$77,2,FALSE))</f>
        <v>CE</v>
      </c>
      <c r="B88" s="57" t="s">
        <v>180</v>
      </c>
      <c r="C88" s="58" t="s">
        <v>181</v>
      </c>
      <c r="D88" s="58" t="s">
        <v>182</v>
      </c>
      <c r="E88" s="58" t="s">
        <v>53</v>
      </c>
      <c r="F88" s="9">
        <v>4.1289858968592545</v>
      </c>
      <c r="G88" s="9">
        <v>3.2051382390646044</v>
      </c>
      <c r="H88" s="9">
        <v>4.0578963109959822</v>
      </c>
      <c r="I88" s="9">
        <v>2.742631383768233</v>
      </c>
      <c r="J88" s="9">
        <v>5.1608070819196055</v>
      </c>
      <c r="K88" s="9">
        <v>2.1866101373045765</v>
      </c>
      <c r="L88" s="49" t="s">
        <v>381</v>
      </c>
      <c r="M88" s="49" t="s">
        <v>381</v>
      </c>
      <c r="N88" s="49" t="s">
        <v>381</v>
      </c>
      <c r="O88" s="49" t="s">
        <v>381</v>
      </c>
      <c r="P88" s="49" t="s">
        <v>381</v>
      </c>
      <c r="Q88" s="49" t="s">
        <v>381</v>
      </c>
      <c r="R88" s="30" t="str">
        <f t="shared" si="8"/>
        <v/>
      </c>
      <c r="S88" s="30" t="str">
        <f t="shared" si="9"/>
        <v/>
      </c>
      <c r="T88" s="30" t="str">
        <f t="shared" si="10"/>
        <v/>
      </c>
      <c r="U88" s="30" t="str">
        <f t="shared" si="11"/>
        <v/>
      </c>
      <c r="V88" s="30" t="str">
        <f t="shared" si="12"/>
        <v/>
      </c>
      <c r="W88" s="30" t="str">
        <f t="shared" si="13"/>
        <v/>
      </c>
      <c r="X88" s="30" t="str">
        <f t="shared" si="14"/>
        <v/>
      </c>
    </row>
    <row r="89" spans="1:24" x14ac:dyDescent="0.3">
      <c r="A89" s="51" t="str">
        <f>IF(ISNA(VLOOKUP(B89,Shortlist_xref!$A$5:$B$77,2,FALSE))=TRUE,"-",VLOOKUP(B89,Shortlist_xref!$A$5:$B$77,2,FALSE))</f>
        <v>R-Select</v>
      </c>
      <c r="B89" s="57" t="s">
        <v>183</v>
      </c>
      <c r="C89" s="58" t="s">
        <v>181</v>
      </c>
      <c r="D89" s="58" t="s">
        <v>184</v>
      </c>
      <c r="E89" s="58" t="s">
        <v>12</v>
      </c>
      <c r="F89" s="9">
        <v>22.574532704746236</v>
      </c>
      <c r="G89" s="9">
        <v>20.68902888353168</v>
      </c>
      <c r="H89" s="9">
        <v>25.166757847340424</v>
      </c>
      <c r="I89" s="9">
        <v>17.338545770428862</v>
      </c>
      <c r="J89" s="9">
        <v>31.104083823322902</v>
      </c>
      <c r="K89" s="9">
        <v>13.792496584090687</v>
      </c>
      <c r="L89" s="49" t="s">
        <v>381</v>
      </c>
      <c r="M89" s="49" t="s">
        <v>381</v>
      </c>
      <c r="N89" s="49" t="s">
        <v>381</v>
      </c>
      <c r="O89" s="49" t="s">
        <v>381</v>
      </c>
      <c r="P89" s="49" t="s">
        <v>381</v>
      </c>
      <c r="Q89" s="49" t="s">
        <v>381</v>
      </c>
      <c r="R89" s="30" t="str">
        <f t="shared" si="8"/>
        <v/>
      </c>
      <c r="S89" s="30" t="str">
        <f t="shared" si="9"/>
        <v/>
      </c>
      <c r="T89" s="30" t="str">
        <f t="shared" si="10"/>
        <v/>
      </c>
      <c r="U89" s="30" t="str">
        <f t="shared" si="11"/>
        <v/>
      </c>
      <c r="V89" s="30" t="str">
        <f t="shared" si="12"/>
        <v/>
      </c>
      <c r="W89" s="30" t="str">
        <f t="shared" si="13"/>
        <v/>
      </c>
      <c r="X89" s="30" t="str">
        <f t="shared" si="14"/>
        <v/>
      </c>
    </row>
    <row r="90" spans="1:24" x14ac:dyDescent="0.3">
      <c r="A90" s="51" t="str">
        <f>IF(ISNA(VLOOKUP(B90,Shortlist_xref!$A$5:$B$77,2,FALSE))=TRUE,"-",VLOOKUP(B90,Shortlist_xref!$A$5:$B$77,2,FALSE))</f>
        <v>R-Select</v>
      </c>
      <c r="B90" s="57" t="s">
        <v>183</v>
      </c>
      <c r="C90" s="58" t="s">
        <v>181</v>
      </c>
      <c r="D90" s="58" t="s">
        <v>184</v>
      </c>
      <c r="E90" s="58" t="s">
        <v>53</v>
      </c>
      <c r="F90" s="9">
        <v>18.611249863455154</v>
      </c>
      <c r="G90" s="9">
        <v>14.447041017873296</v>
      </c>
      <c r="H90" s="9">
        <v>18.290816207772941</v>
      </c>
      <c r="I90" s="9">
        <v>12.362308625343383</v>
      </c>
      <c r="J90" s="9">
        <v>23.2621453543242</v>
      </c>
      <c r="K90" s="9">
        <v>9.8560636039698846</v>
      </c>
      <c r="L90" s="49" t="s">
        <v>381</v>
      </c>
      <c r="M90" s="49" t="s">
        <v>381</v>
      </c>
      <c r="N90" s="49" t="s">
        <v>381</v>
      </c>
      <c r="O90" s="49" t="s">
        <v>381</v>
      </c>
      <c r="P90" s="49" t="s">
        <v>381</v>
      </c>
      <c r="Q90" s="49" t="s">
        <v>381</v>
      </c>
      <c r="R90" s="30" t="str">
        <f t="shared" si="8"/>
        <v/>
      </c>
      <c r="S90" s="30" t="str">
        <f t="shared" si="9"/>
        <v/>
      </c>
      <c r="T90" s="30" t="str">
        <f t="shared" si="10"/>
        <v/>
      </c>
      <c r="U90" s="30" t="str">
        <f t="shared" si="11"/>
        <v/>
      </c>
      <c r="V90" s="30" t="str">
        <f t="shared" si="12"/>
        <v/>
      </c>
      <c r="W90" s="30" t="str">
        <f t="shared" si="13"/>
        <v/>
      </c>
      <c r="X90" s="30" t="str">
        <f t="shared" si="14"/>
        <v/>
      </c>
    </row>
    <row r="91" spans="1:24" x14ac:dyDescent="0.3">
      <c r="A91" s="51" t="str">
        <f>IF(ISNA(VLOOKUP(B91,Shortlist_xref!$A$5:$B$77,2,FALSE))=TRUE,"-",VLOOKUP(B91,Shortlist_xref!$A$5:$B$77,2,FALSE))</f>
        <v>R-Select</v>
      </c>
      <c r="B91" s="57" t="s">
        <v>185</v>
      </c>
      <c r="C91" s="58" t="s">
        <v>181</v>
      </c>
      <c r="D91" s="58" t="s">
        <v>186</v>
      </c>
      <c r="E91" s="58" t="s">
        <v>12</v>
      </c>
      <c r="F91" s="9">
        <v>28.330588852569978</v>
      </c>
      <c r="G91" s="9">
        <v>25.964319116782786</v>
      </c>
      <c r="H91" s="9">
        <v>31.583779768574637</v>
      </c>
      <c r="I91" s="9">
        <v>21.759529552530246</v>
      </c>
      <c r="J91" s="9">
        <v>39.03500559500683</v>
      </c>
      <c r="K91" s="9">
        <v>17.309308462105843</v>
      </c>
      <c r="L91" s="49" t="s">
        <v>381</v>
      </c>
      <c r="M91" s="49" t="s">
        <v>381</v>
      </c>
      <c r="N91" s="49" t="s">
        <v>381</v>
      </c>
      <c r="O91" s="49" t="s">
        <v>381</v>
      </c>
      <c r="P91" s="49" t="s">
        <v>381</v>
      </c>
      <c r="Q91" s="49" t="s">
        <v>381</v>
      </c>
      <c r="R91" s="30" t="str">
        <f t="shared" si="8"/>
        <v/>
      </c>
      <c r="S91" s="30" t="str">
        <f t="shared" si="9"/>
        <v/>
      </c>
      <c r="T91" s="30" t="str">
        <f t="shared" si="10"/>
        <v/>
      </c>
      <c r="U91" s="30" t="str">
        <f t="shared" si="11"/>
        <v/>
      </c>
      <c r="V91" s="30" t="str">
        <f t="shared" si="12"/>
        <v/>
      </c>
      <c r="W91" s="30" t="str">
        <f t="shared" si="13"/>
        <v/>
      </c>
      <c r="X91" s="30" t="str">
        <f t="shared" si="14"/>
        <v/>
      </c>
    </row>
    <row r="92" spans="1:24" x14ac:dyDescent="0.3">
      <c r="A92" s="51" t="str">
        <f>IF(ISNA(VLOOKUP(B92,Shortlist_xref!$A$5:$B$77,2,FALSE))=TRUE,"-",VLOOKUP(B92,Shortlist_xref!$A$5:$B$77,2,FALSE))</f>
        <v>R-Select</v>
      </c>
      <c r="B92" s="57" t="s">
        <v>185</v>
      </c>
      <c r="C92" s="58" t="s">
        <v>181</v>
      </c>
      <c r="D92" s="58" t="s">
        <v>186</v>
      </c>
      <c r="E92" s="58" t="s">
        <v>53</v>
      </c>
      <c r="F92" s="9">
        <v>23.294875656907436</v>
      </c>
      <c r="G92" s="9">
        <v>18.082720214424185</v>
      </c>
      <c r="H92" s="9">
        <v>22.893803068007184</v>
      </c>
      <c r="I92" s="9">
        <v>15.473353180065553</v>
      </c>
      <c r="J92" s="9">
        <v>29.116195178591209</v>
      </c>
      <c r="K92" s="9">
        <v>12.336397491061639</v>
      </c>
      <c r="L92" s="49" t="s">
        <v>381</v>
      </c>
      <c r="M92" s="49" t="s">
        <v>381</v>
      </c>
      <c r="N92" s="49" t="s">
        <v>381</v>
      </c>
      <c r="O92" s="49" t="s">
        <v>381</v>
      </c>
      <c r="P92" s="49" t="s">
        <v>381</v>
      </c>
      <c r="Q92" s="49" t="s">
        <v>381</v>
      </c>
      <c r="R92" s="30" t="str">
        <f t="shared" si="8"/>
        <v/>
      </c>
      <c r="S92" s="30" t="str">
        <f t="shared" si="9"/>
        <v/>
      </c>
      <c r="T92" s="30" t="str">
        <f t="shared" si="10"/>
        <v/>
      </c>
      <c r="U92" s="30" t="str">
        <f t="shared" si="11"/>
        <v/>
      </c>
      <c r="V92" s="30" t="str">
        <f t="shared" si="12"/>
        <v/>
      </c>
      <c r="W92" s="30" t="str">
        <f t="shared" si="13"/>
        <v/>
      </c>
      <c r="X92" s="30" t="str">
        <f t="shared" si="14"/>
        <v/>
      </c>
    </row>
    <row r="93" spans="1:24" x14ac:dyDescent="0.3">
      <c r="A93" s="51" t="str">
        <f>IF(ISNA(VLOOKUP(B93,Shortlist_xref!$A$5:$B$77,2,FALSE))=TRUE,"-",VLOOKUP(B93,Shortlist_xref!$A$5:$B$77,2,FALSE))</f>
        <v>R-Select</v>
      </c>
      <c r="B93" s="57" t="s">
        <v>187</v>
      </c>
      <c r="C93" s="58" t="s">
        <v>181</v>
      </c>
      <c r="D93" s="58" t="s">
        <v>188</v>
      </c>
      <c r="E93" s="58" t="s">
        <v>12</v>
      </c>
      <c r="F93" s="9">
        <v>35.075967150800928</v>
      </c>
      <c r="G93" s="9">
        <v>32.146299858873924</v>
      </c>
      <c r="H93" s="9">
        <v>39.103727332520982</v>
      </c>
      <c r="I93" s="9">
        <v>26.940369922180306</v>
      </c>
      <c r="J93" s="9">
        <v>48.329054546198932</v>
      </c>
      <c r="K93" s="9">
        <v>21.430572381654855</v>
      </c>
      <c r="L93" s="49" t="s">
        <v>381</v>
      </c>
      <c r="M93" s="49" t="s">
        <v>381</v>
      </c>
      <c r="N93" s="49" t="s">
        <v>381</v>
      </c>
      <c r="O93" s="49" t="s">
        <v>381</v>
      </c>
      <c r="P93" s="49" t="s">
        <v>381</v>
      </c>
      <c r="Q93" s="49" t="s">
        <v>381</v>
      </c>
      <c r="R93" s="30" t="str">
        <f t="shared" si="8"/>
        <v/>
      </c>
      <c r="S93" s="30" t="str">
        <f t="shared" si="9"/>
        <v/>
      </c>
      <c r="T93" s="30" t="str">
        <f t="shared" si="10"/>
        <v/>
      </c>
      <c r="U93" s="30" t="str">
        <f t="shared" si="11"/>
        <v/>
      </c>
      <c r="V93" s="30" t="str">
        <f t="shared" si="12"/>
        <v/>
      </c>
      <c r="W93" s="30" t="str">
        <f t="shared" si="13"/>
        <v/>
      </c>
      <c r="X93" s="30" t="str">
        <f t="shared" si="14"/>
        <v/>
      </c>
    </row>
    <row r="94" spans="1:24" x14ac:dyDescent="0.3">
      <c r="A94" s="51" t="str">
        <f>IF(ISNA(VLOOKUP(B94,Shortlist_xref!$A$5:$B$77,2,FALSE))=TRUE,"-",VLOOKUP(B94,Shortlist_xref!$A$5:$B$77,2,FALSE))</f>
        <v>R-Select</v>
      </c>
      <c r="B94" s="57" t="s">
        <v>187</v>
      </c>
      <c r="C94" s="58" t="s">
        <v>181</v>
      </c>
      <c r="D94" s="58" t="s">
        <v>188</v>
      </c>
      <c r="E94" s="58" t="s">
        <v>53</v>
      </c>
      <c r="F94" s="9">
        <v>28.841274622837783</v>
      </c>
      <c r="G94" s="9">
        <v>22.388129789287088</v>
      </c>
      <c r="H94" s="9">
        <v>28.344708560389851</v>
      </c>
      <c r="I94" s="9">
        <v>19.157484889604973</v>
      </c>
      <c r="J94" s="9">
        <v>36.048622602065308</v>
      </c>
      <c r="K94" s="9">
        <v>15.273634988933461</v>
      </c>
      <c r="L94" s="49" t="s">
        <v>381</v>
      </c>
      <c r="M94" s="49" t="s">
        <v>381</v>
      </c>
      <c r="N94" s="49" t="s">
        <v>381</v>
      </c>
      <c r="O94" s="49" t="s">
        <v>381</v>
      </c>
      <c r="P94" s="49" t="s">
        <v>381</v>
      </c>
      <c r="Q94" s="49" t="s">
        <v>381</v>
      </c>
      <c r="R94" s="30" t="str">
        <f t="shared" si="8"/>
        <v/>
      </c>
      <c r="S94" s="30" t="str">
        <f t="shared" si="9"/>
        <v/>
      </c>
      <c r="T94" s="30" t="str">
        <f t="shared" si="10"/>
        <v/>
      </c>
      <c r="U94" s="30" t="str">
        <f t="shared" si="11"/>
        <v/>
      </c>
      <c r="V94" s="30" t="str">
        <f t="shared" si="12"/>
        <v/>
      </c>
      <c r="W94" s="30" t="str">
        <f t="shared" si="13"/>
        <v/>
      </c>
      <c r="X94" s="30" t="str">
        <f t="shared" si="14"/>
        <v/>
      </c>
    </row>
    <row r="95" spans="1:24" x14ac:dyDescent="0.3">
      <c r="A95" s="51" t="str">
        <f>IF(ISNA(VLOOKUP(B95,Shortlist_xref!$A$5:$B$77,2,FALSE))=TRUE,"-",VLOOKUP(B95,Shortlist_xref!$A$5:$B$77,2,FALSE))</f>
        <v>-</v>
      </c>
      <c r="B95" s="57" t="s">
        <v>866</v>
      </c>
      <c r="C95" s="58" t="s">
        <v>181</v>
      </c>
      <c r="D95" s="58" t="s">
        <v>867</v>
      </c>
      <c r="E95" s="58" t="s">
        <v>12</v>
      </c>
      <c r="F95" s="9">
        <v>15.739216029205542</v>
      </c>
      <c r="G95" s="9">
        <v>14.424621731545992</v>
      </c>
      <c r="H95" s="9">
        <v>17.546544315874797</v>
      </c>
      <c r="I95" s="9">
        <v>12.088627529183469</v>
      </c>
      <c r="J95" s="9">
        <v>21.686114219448239</v>
      </c>
      <c r="K95" s="9">
        <v>9.6162824789476904</v>
      </c>
      <c r="L95" s="49" t="s">
        <v>381</v>
      </c>
      <c r="M95" s="49" t="s">
        <v>381</v>
      </c>
      <c r="N95" s="49" t="s">
        <v>381</v>
      </c>
      <c r="O95" s="49" t="s">
        <v>381</v>
      </c>
      <c r="P95" s="49" t="s">
        <v>381</v>
      </c>
      <c r="Q95" s="49" t="s">
        <v>381</v>
      </c>
      <c r="R95" s="30" t="str">
        <f t="shared" si="8"/>
        <v/>
      </c>
      <c r="S95" s="30" t="str">
        <f t="shared" si="9"/>
        <v/>
      </c>
      <c r="T95" s="30" t="str">
        <f t="shared" si="10"/>
        <v/>
      </c>
      <c r="U95" s="30" t="str">
        <f t="shared" si="11"/>
        <v/>
      </c>
      <c r="V95" s="30" t="str">
        <f t="shared" si="12"/>
        <v/>
      </c>
      <c r="W95" s="30" t="str">
        <f t="shared" si="13"/>
        <v/>
      </c>
      <c r="X95" s="30" t="str">
        <f t="shared" si="14"/>
        <v/>
      </c>
    </row>
    <row r="96" spans="1:24" x14ac:dyDescent="0.3">
      <c r="A96" s="51" t="str">
        <f>IF(ISNA(VLOOKUP(B96,Shortlist_xref!$A$5:$B$77,2,FALSE))=TRUE,"-",VLOOKUP(B96,Shortlist_xref!$A$5:$B$77,2,FALSE))</f>
        <v>-</v>
      </c>
      <c r="B96" s="57" t="s">
        <v>866</v>
      </c>
      <c r="C96" s="58" t="s">
        <v>181</v>
      </c>
      <c r="D96" s="58" t="s">
        <v>867</v>
      </c>
      <c r="E96" s="58" t="s">
        <v>53</v>
      </c>
      <c r="F96" s="9">
        <v>12.941597587170801</v>
      </c>
      <c r="G96" s="9">
        <v>10.045955674680105</v>
      </c>
      <c r="H96" s="9">
        <v>12.718779482226216</v>
      </c>
      <c r="I96" s="9">
        <v>8.5963073222586424</v>
      </c>
      <c r="J96" s="9">
        <v>16.17566398810623</v>
      </c>
      <c r="K96" s="9">
        <v>6.8535541617009121</v>
      </c>
      <c r="L96" s="49" t="s">
        <v>381</v>
      </c>
      <c r="M96" s="49" t="s">
        <v>381</v>
      </c>
      <c r="N96" s="49" t="s">
        <v>381</v>
      </c>
      <c r="O96" s="49" t="s">
        <v>381</v>
      </c>
      <c r="P96" s="49" t="s">
        <v>381</v>
      </c>
      <c r="Q96" s="49" t="s">
        <v>381</v>
      </c>
      <c r="R96" s="30" t="str">
        <f t="shared" si="8"/>
        <v/>
      </c>
      <c r="S96" s="30" t="str">
        <f t="shared" si="9"/>
        <v/>
      </c>
      <c r="T96" s="30" t="str">
        <f t="shared" si="10"/>
        <v/>
      </c>
      <c r="U96" s="30" t="str">
        <f t="shared" si="11"/>
        <v/>
      </c>
      <c r="V96" s="30" t="str">
        <f t="shared" si="12"/>
        <v/>
      </c>
      <c r="W96" s="30" t="str">
        <f t="shared" si="13"/>
        <v/>
      </c>
      <c r="X96" s="30" t="str">
        <f t="shared" si="14"/>
        <v/>
      </c>
    </row>
    <row r="97" spans="1:24" x14ac:dyDescent="0.3">
      <c r="A97" s="51" t="str">
        <f>IF(ISNA(VLOOKUP(B97,Shortlist_xref!$A$5:$B$77,2,FALSE))=TRUE,"-",VLOOKUP(B97,Shortlist_xref!$A$5:$B$77,2,FALSE))</f>
        <v>-</v>
      </c>
      <c r="B97" s="57" t="s">
        <v>870</v>
      </c>
      <c r="C97" s="58" t="s">
        <v>181</v>
      </c>
      <c r="D97" s="58" t="s">
        <v>871</v>
      </c>
      <c r="E97" s="58" t="s">
        <v>12</v>
      </c>
      <c r="F97" s="9">
        <v>6.4755631663017095</v>
      </c>
      <c r="G97" s="9">
        <v>5.9347015124074947</v>
      </c>
      <c r="H97" s="9">
        <v>7.2191496613884887</v>
      </c>
      <c r="I97" s="9">
        <v>4.9736067548640568</v>
      </c>
      <c r="J97" s="9">
        <v>8.9222869931444198</v>
      </c>
      <c r="K97" s="9">
        <v>3.9564133627670501</v>
      </c>
      <c r="L97" s="49" t="s">
        <v>381</v>
      </c>
      <c r="M97" s="49" t="s">
        <v>381</v>
      </c>
      <c r="N97" s="49" t="s">
        <v>381</v>
      </c>
      <c r="O97" s="49" t="s">
        <v>381</v>
      </c>
      <c r="P97" s="49" t="s">
        <v>381</v>
      </c>
      <c r="Q97" s="49" t="s">
        <v>381</v>
      </c>
      <c r="R97" s="30" t="str">
        <f t="shared" si="8"/>
        <v/>
      </c>
      <c r="S97" s="30" t="str">
        <f t="shared" si="9"/>
        <v/>
      </c>
      <c r="T97" s="30" t="str">
        <f t="shared" si="10"/>
        <v/>
      </c>
      <c r="U97" s="30" t="str">
        <f t="shared" si="11"/>
        <v/>
      </c>
      <c r="V97" s="30" t="str">
        <f t="shared" si="12"/>
        <v/>
      </c>
      <c r="W97" s="30" t="str">
        <f t="shared" si="13"/>
        <v/>
      </c>
      <c r="X97" s="30" t="str">
        <f t="shared" si="14"/>
        <v/>
      </c>
    </row>
    <row r="98" spans="1:24" x14ac:dyDescent="0.3">
      <c r="A98" s="51" t="str">
        <f>IF(ISNA(VLOOKUP(B98,Shortlist_xref!$A$5:$B$77,2,FALSE))=TRUE,"-",VLOOKUP(B98,Shortlist_xref!$A$5:$B$77,2,FALSE))</f>
        <v>-</v>
      </c>
      <c r="B98" s="57" t="s">
        <v>870</v>
      </c>
      <c r="C98" s="58" t="s">
        <v>181</v>
      </c>
      <c r="D98" s="58" t="s">
        <v>871</v>
      </c>
      <c r="E98" s="58" t="s">
        <v>53</v>
      </c>
      <c r="F98" s="9">
        <v>5.299892345222327</v>
      </c>
      <c r="G98" s="9">
        <v>4.1140580382023284</v>
      </c>
      <c r="H98" s="9">
        <v>5.2086430260545447</v>
      </c>
      <c r="I98" s="9">
        <v>3.5203925224487769</v>
      </c>
      <c r="J98" s="9">
        <v>6.6243195379863602</v>
      </c>
      <c r="K98" s="9">
        <v>2.8066936090775161</v>
      </c>
      <c r="L98" s="49" t="s">
        <v>381</v>
      </c>
      <c r="M98" s="49" t="s">
        <v>381</v>
      </c>
      <c r="N98" s="49" t="s">
        <v>381</v>
      </c>
      <c r="O98" s="49" t="s">
        <v>381</v>
      </c>
      <c r="P98" s="49" t="s">
        <v>381</v>
      </c>
      <c r="Q98" s="49" t="s">
        <v>381</v>
      </c>
      <c r="R98" s="30" t="str">
        <f t="shared" si="8"/>
        <v/>
      </c>
      <c r="S98" s="30" t="str">
        <f t="shared" si="9"/>
        <v/>
      </c>
      <c r="T98" s="30" t="str">
        <f t="shared" si="10"/>
        <v/>
      </c>
      <c r="U98" s="30" t="str">
        <f t="shared" si="11"/>
        <v/>
      </c>
      <c r="V98" s="30" t="str">
        <f t="shared" si="12"/>
        <v/>
      </c>
      <c r="W98" s="30" t="str">
        <f t="shared" si="13"/>
        <v/>
      </c>
      <c r="X98" s="30" t="str">
        <f t="shared" si="14"/>
        <v/>
      </c>
    </row>
    <row r="99" spans="1:24" x14ac:dyDescent="0.3">
      <c r="A99" s="51" t="str">
        <f>IF(ISNA(VLOOKUP(B99,Shortlist_xref!$A$5:$B$77,2,FALSE))=TRUE,"-",VLOOKUP(B99,Shortlist_xref!$A$5:$B$77,2,FALSE))</f>
        <v>R-Select</v>
      </c>
      <c r="B99" s="57" t="s">
        <v>189</v>
      </c>
      <c r="C99" s="58" t="s">
        <v>181</v>
      </c>
      <c r="D99" s="58" t="s">
        <v>208</v>
      </c>
      <c r="E99" s="58" t="s">
        <v>12</v>
      </c>
      <c r="F99" s="9">
        <v>22.664471082055982</v>
      </c>
      <c r="G99" s="9">
        <v>20.771455293426229</v>
      </c>
      <c r="H99" s="9">
        <v>25.267023814859709</v>
      </c>
      <c r="I99" s="9">
        <v>17.407623642024198</v>
      </c>
      <c r="J99" s="9">
        <v>31.228004476005466</v>
      </c>
      <c r="K99" s="9">
        <v>13.847446769684675</v>
      </c>
      <c r="L99" s="49" t="s">
        <v>381</v>
      </c>
      <c r="M99" s="49" t="s">
        <v>381</v>
      </c>
      <c r="N99" s="49" t="s">
        <v>381</v>
      </c>
      <c r="O99" s="49" t="s">
        <v>381</v>
      </c>
      <c r="P99" s="49" t="s">
        <v>381</v>
      </c>
      <c r="Q99" s="49" t="s">
        <v>381</v>
      </c>
      <c r="R99" s="30" t="str">
        <f t="shared" si="8"/>
        <v/>
      </c>
      <c r="S99" s="30" t="str">
        <f t="shared" si="9"/>
        <v/>
      </c>
      <c r="T99" s="30" t="str">
        <f t="shared" si="10"/>
        <v/>
      </c>
      <c r="U99" s="30" t="str">
        <f t="shared" si="11"/>
        <v/>
      </c>
      <c r="V99" s="30" t="str">
        <f t="shared" si="12"/>
        <v/>
      </c>
      <c r="W99" s="30" t="str">
        <f t="shared" si="13"/>
        <v/>
      </c>
      <c r="X99" s="30" t="str">
        <f t="shared" si="14"/>
        <v/>
      </c>
    </row>
    <row r="100" spans="1:24" x14ac:dyDescent="0.3">
      <c r="A100" s="51" t="str">
        <f>IF(ISNA(VLOOKUP(B100,Shortlist_xref!$A$5:$B$77,2,FALSE))=TRUE,"-",VLOOKUP(B100,Shortlist_xref!$A$5:$B$77,2,FALSE))</f>
        <v>R-Select</v>
      </c>
      <c r="B100" s="57" t="s">
        <v>189</v>
      </c>
      <c r="C100" s="58" t="s">
        <v>181</v>
      </c>
      <c r="D100" s="58" t="s">
        <v>208</v>
      </c>
      <c r="E100" s="58" t="s">
        <v>53</v>
      </c>
      <c r="F100" s="9">
        <v>18.61124986345515</v>
      </c>
      <c r="G100" s="9">
        <v>14.447041017873293</v>
      </c>
      <c r="H100" s="9">
        <v>18.290816207772938</v>
      </c>
      <c r="I100" s="9">
        <v>12.362308625343379</v>
      </c>
      <c r="J100" s="9">
        <v>23.262145354324193</v>
      </c>
      <c r="K100" s="9">
        <v>9.8560636039698828</v>
      </c>
      <c r="L100" s="49" t="s">
        <v>381</v>
      </c>
      <c r="M100" s="49" t="s">
        <v>381</v>
      </c>
      <c r="N100" s="49" t="s">
        <v>381</v>
      </c>
      <c r="O100" s="49" t="s">
        <v>381</v>
      </c>
      <c r="P100" s="49" t="s">
        <v>381</v>
      </c>
      <c r="Q100" s="49" t="s">
        <v>381</v>
      </c>
      <c r="R100" s="30" t="str">
        <f t="shared" si="8"/>
        <v/>
      </c>
      <c r="S100" s="30" t="str">
        <f t="shared" si="9"/>
        <v/>
      </c>
      <c r="T100" s="30" t="str">
        <f t="shared" si="10"/>
        <v/>
      </c>
      <c r="U100" s="30" t="str">
        <f t="shared" si="11"/>
        <v/>
      </c>
      <c r="V100" s="30" t="str">
        <f t="shared" si="12"/>
        <v/>
      </c>
      <c r="W100" s="30" t="str">
        <f t="shared" si="13"/>
        <v/>
      </c>
      <c r="X100" s="30" t="str">
        <f t="shared" si="14"/>
        <v/>
      </c>
    </row>
    <row r="101" spans="1:24" x14ac:dyDescent="0.3">
      <c r="A101" s="51" t="str">
        <f>IF(ISNA(VLOOKUP(B101,Shortlist_xref!$A$5:$B$77,2,FALSE))=TRUE,"-",VLOOKUP(B101,Shortlist_xref!$A$5:$B$77,2,FALSE))</f>
        <v>EmissRed</v>
      </c>
      <c r="B101" s="57" t="s">
        <v>190</v>
      </c>
      <c r="C101" s="58" t="s">
        <v>191</v>
      </c>
      <c r="D101" s="58" t="s">
        <v>192</v>
      </c>
      <c r="E101" s="58" t="s">
        <v>12</v>
      </c>
      <c r="F101" s="9">
        <v>1063.2146899370885</v>
      </c>
      <c r="G101" s="9">
        <v>852.05415907870395</v>
      </c>
      <c r="H101" s="9">
        <v>412.20162123899701</v>
      </c>
      <c r="I101" s="9">
        <v>335.31644726104622</v>
      </c>
      <c r="J101" s="9">
        <v>683.92460092644478</v>
      </c>
      <c r="K101" s="9">
        <v>651.35012576568136</v>
      </c>
      <c r="L101" s="49" t="s">
        <v>381</v>
      </c>
      <c r="M101" s="49" t="s">
        <v>381</v>
      </c>
      <c r="N101" s="49" t="s">
        <v>381</v>
      </c>
      <c r="O101" s="49" t="s">
        <v>381</v>
      </c>
      <c r="P101" s="49" t="s">
        <v>381</v>
      </c>
      <c r="Q101" s="49" t="s">
        <v>381</v>
      </c>
      <c r="R101" s="30" t="str">
        <f t="shared" si="8"/>
        <v/>
      </c>
      <c r="S101" s="30" t="str">
        <f t="shared" si="9"/>
        <v/>
      </c>
      <c r="T101" s="30" t="str">
        <f t="shared" si="10"/>
        <v/>
      </c>
      <c r="U101" s="30" t="str">
        <f t="shared" si="11"/>
        <v/>
      </c>
      <c r="V101" s="30" t="str">
        <f t="shared" si="12"/>
        <v/>
      </c>
      <c r="W101" s="30" t="str">
        <f t="shared" si="13"/>
        <v/>
      </c>
      <c r="X101" s="30" t="str">
        <f t="shared" si="14"/>
        <v/>
      </c>
    </row>
    <row r="102" spans="1:24" x14ac:dyDescent="0.3">
      <c r="A102" s="51" t="str">
        <f>IF(ISNA(VLOOKUP(B102,Shortlist_xref!$A$5:$B$77,2,FALSE))=TRUE,"-",VLOOKUP(B102,Shortlist_xref!$A$5:$B$77,2,FALSE))</f>
        <v>EmissRed</v>
      </c>
      <c r="B102" s="57" t="s">
        <v>190</v>
      </c>
      <c r="C102" s="58" t="s">
        <v>191</v>
      </c>
      <c r="D102" s="58" t="s">
        <v>192</v>
      </c>
      <c r="E102" s="58" t="s">
        <v>53</v>
      </c>
      <c r="F102" s="9">
        <v>122.01721239303227</v>
      </c>
      <c r="G102" s="9">
        <v>128.48494448956919</v>
      </c>
      <c r="H102" s="9">
        <v>55.314817500266408</v>
      </c>
      <c r="I102" s="9">
        <v>45.929579420381174</v>
      </c>
      <c r="J102" s="9">
        <v>77.159828189365953</v>
      </c>
      <c r="K102" s="9">
        <v>80.514498364642506</v>
      </c>
      <c r="L102" s="49" t="s">
        <v>381</v>
      </c>
      <c r="M102" s="49" t="s">
        <v>381</v>
      </c>
      <c r="N102" s="49" t="s">
        <v>381</v>
      </c>
      <c r="O102" s="49" t="s">
        <v>381</v>
      </c>
      <c r="P102" s="49" t="s">
        <v>381</v>
      </c>
      <c r="Q102" s="49" t="s">
        <v>381</v>
      </c>
      <c r="R102" s="30" t="str">
        <f t="shared" si="8"/>
        <v/>
      </c>
      <c r="S102" s="30" t="str">
        <f t="shared" si="9"/>
        <v/>
      </c>
      <c r="T102" s="30" t="str">
        <f t="shared" si="10"/>
        <v/>
      </c>
      <c r="U102" s="30" t="str">
        <f t="shared" si="11"/>
        <v/>
      </c>
      <c r="V102" s="30" t="str">
        <f t="shared" si="12"/>
        <v/>
      </c>
      <c r="W102" s="30" t="str">
        <f t="shared" si="13"/>
        <v/>
      </c>
      <c r="X102" s="30" t="str">
        <f t="shared" si="14"/>
        <v/>
      </c>
    </row>
    <row r="103" spans="1:24" ht="100.25" customHeight="1" x14ac:dyDescent="0.3">
      <c r="A103" s="51" t="str">
        <f>IF(ISNA(VLOOKUP(B103,Shortlist_xref!$A$5:$B$77,2,FALSE))=TRUE,"-",VLOOKUP(B103,Shortlist_xref!$A$5:$B$77,2,FALSE))</f>
        <v>CE</v>
      </c>
      <c r="B103" s="57" t="s">
        <v>193</v>
      </c>
      <c r="C103" s="12" t="s">
        <v>194</v>
      </c>
      <c r="D103" s="58" t="s">
        <v>195</v>
      </c>
      <c r="E103" s="58" t="s">
        <v>12</v>
      </c>
      <c r="F103" s="9">
        <v>358.6414118020827</v>
      </c>
      <c r="G103" s="9">
        <v>291.32132267225569</v>
      </c>
      <c r="H103" s="9">
        <v>153.90920076847291</v>
      </c>
      <c r="I103" s="9">
        <v>123.35970595690922</v>
      </c>
      <c r="J103" s="9">
        <v>241.75018798770668</v>
      </c>
      <c r="K103" s="9">
        <v>225.04261982933065</v>
      </c>
      <c r="L103" s="49" t="s">
        <v>381</v>
      </c>
      <c r="M103" s="49" t="s">
        <v>381</v>
      </c>
      <c r="N103" s="49" t="s">
        <v>381</v>
      </c>
      <c r="O103" s="49" t="s">
        <v>381</v>
      </c>
      <c r="P103" s="49" t="s">
        <v>381</v>
      </c>
      <c r="Q103" s="49" t="s">
        <v>381</v>
      </c>
      <c r="R103" s="30" t="str">
        <f t="shared" si="8"/>
        <v/>
      </c>
      <c r="S103" s="30" t="str">
        <f t="shared" si="9"/>
        <v/>
      </c>
      <c r="T103" s="30" t="str">
        <f t="shared" si="10"/>
        <v/>
      </c>
      <c r="U103" s="30" t="str">
        <f t="shared" si="11"/>
        <v/>
      </c>
      <c r="V103" s="30" t="str">
        <f t="shared" si="12"/>
        <v/>
      </c>
      <c r="W103" s="30" t="str">
        <f t="shared" si="13"/>
        <v/>
      </c>
      <c r="X103" s="30" t="str">
        <f t="shared" si="14"/>
        <v/>
      </c>
    </row>
    <row r="104" spans="1:24" ht="100.25" customHeight="1" x14ac:dyDescent="0.3">
      <c r="A104" s="51" t="str">
        <f>IF(ISNA(VLOOKUP(B104,Shortlist_xref!$A$5:$B$77,2,FALSE))=TRUE,"-",VLOOKUP(B104,Shortlist_xref!$A$5:$B$77,2,FALSE))</f>
        <v>CE</v>
      </c>
      <c r="B104" s="57" t="s">
        <v>193</v>
      </c>
      <c r="C104" s="12" t="s">
        <v>194</v>
      </c>
      <c r="D104" s="58" t="s">
        <v>195</v>
      </c>
      <c r="E104" s="58" t="s">
        <v>53</v>
      </c>
      <c r="F104" s="9" t="s">
        <v>37</v>
      </c>
      <c r="G104" s="9" t="s">
        <v>37</v>
      </c>
      <c r="H104" s="9" t="s">
        <v>37</v>
      </c>
      <c r="I104" s="9" t="s">
        <v>37</v>
      </c>
      <c r="J104" s="9" t="s">
        <v>37</v>
      </c>
      <c r="K104" s="9" t="s">
        <v>37</v>
      </c>
      <c r="L104" s="49" t="s">
        <v>381</v>
      </c>
      <c r="M104" s="49" t="s">
        <v>381</v>
      </c>
      <c r="N104" s="49" t="s">
        <v>381</v>
      </c>
      <c r="O104" s="49" t="s">
        <v>381</v>
      </c>
      <c r="P104" s="49" t="s">
        <v>381</v>
      </c>
      <c r="Q104" s="49" t="s">
        <v>381</v>
      </c>
      <c r="R104" s="30" t="str">
        <f t="shared" si="8"/>
        <v/>
      </c>
      <c r="S104" s="30" t="str">
        <f t="shared" si="9"/>
        <v/>
      </c>
      <c r="T104" s="30" t="str">
        <f t="shared" si="10"/>
        <v/>
      </c>
      <c r="U104" s="30" t="str">
        <f t="shared" si="11"/>
        <v/>
      </c>
      <c r="V104" s="30" t="str">
        <f t="shared" si="12"/>
        <v/>
      </c>
      <c r="W104" s="30" t="str">
        <f t="shared" si="13"/>
        <v/>
      </c>
      <c r="X104" s="30" t="str">
        <f t="shared" si="14"/>
        <v/>
      </c>
    </row>
    <row r="105" spans="1:24" ht="100.25" customHeight="1" x14ac:dyDescent="0.3">
      <c r="A105" s="51" t="str">
        <f>IF(ISNA(VLOOKUP(B105,Shortlist_xref!$A$5:$B$77,2,FALSE))=TRUE,"-",VLOOKUP(B105,Shortlist_xref!$A$5:$B$77,2,FALSE))</f>
        <v>CE</v>
      </c>
      <c r="B105" s="57" t="s">
        <v>209</v>
      </c>
      <c r="C105" s="12" t="s">
        <v>210</v>
      </c>
      <c r="D105" s="58" t="s">
        <v>211</v>
      </c>
      <c r="E105" s="58" t="s">
        <v>12</v>
      </c>
      <c r="F105" s="9">
        <v>340.22870077986835</v>
      </c>
      <c r="G105" s="9">
        <v>272.65733090518523</v>
      </c>
      <c r="H105" s="9">
        <v>131.90451879647904</v>
      </c>
      <c r="I105" s="9">
        <v>107.30126312353478</v>
      </c>
      <c r="J105" s="9">
        <v>218.85587229646237</v>
      </c>
      <c r="K105" s="9">
        <v>208.43204024501802</v>
      </c>
      <c r="L105" s="49" t="s">
        <v>381</v>
      </c>
      <c r="M105" s="49" t="s">
        <v>381</v>
      </c>
      <c r="N105" s="49" t="s">
        <v>381</v>
      </c>
      <c r="O105" s="49" t="s">
        <v>381</v>
      </c>
      <c r="P105" s="49" t="s">
        <v>381</v>
      </c>
      <c r="Q105" s="49" t="s">
        <v>381</v>
      </c>
      <c r="R105" s="30" t="str">
        <f t="shared" si="8"/>
        <v/>
      </c>
      <c r="S105" s="30" t="str">
        <f t="shared" si="9"/>
        <v/>
      </c>
      <c r="T105" s="30" t="str">
        <f t="shared" si="10"/>
        <v/>
      </c>
      <c r="U105" s="30" t="str">
        <f t="shared" si="11"/>
        <v/>
      </c>
      <c r="V105" s="30" t="str">
        <f t="shared" si="12"/>
        <v/>
      </c>
      <c r="W105" s="30" t="str">
        <f t="shared" si="13"/>
        <v/>
      </c>
      <c r="X105" s="30" t="str">
        <f t="shared" si="14"/>
        <v/>
      </c>
    </row>
    <row r="106" spans="1:24" ht="100.25" customHeight="1" x14ac:dyDescent="0.3">
      <c r="A106" s="51" t="str">
        <f>IF(ISNA(VLOOKUP(B106,Shortlist_xref!$A$5:$B$77,2,FALSE))=TRUE,"-",VLOOKUP(B106,Shortlist_xref!$A$5:$B$77,2,FALSE))</f>
        <v>CE</v>
      </c>
      <c r="B106" s="57" t="s">
        <v>209</v>
      </c>
      <c r="C106" s="12" t="s">
        <v>210</v>
      </c>
      <c r="D106" s="58" t="s">
        <v>211</v>
      </c>
      <c r="E106" s="58" t="s">
        <v>53</v>
      </c>
      <c r="F106" s="9" t="s">
        <v>37</v>
      </c>
      <c r="G106" s="9" t="s">
        <v>37</v>
      </c>
      <c r="H106" s="9" t="s">
        <v>37</v>
      </c>
      <c r="I106" s="9" t="s">
        <v>37</v>
      </c>
      <c r="J106" s="9" t="s">
        <v>37</v>
      </c>
      <c r="K106" s="9" t="s">
        <v>37</v>
      </c>
      <c r="L106" s="49" t="s">
        <v>381</v>
      </c>
      <c r="M106" s="49" t="s">
        <v>381</v>
      </c>
      <c r="N106" s="49" t="s">
        <v>381</v>
      </c>
      <c r="O106" s="49" t="s">
        <v>381</v>
      </c>
      <c r="P106" s="49" t="s">
        <v>381</v>
      </c>
      <c r="Q106" s="49" t="s">
        <v>381</v>
      </c>
      <c r="R106" s="30" t="str">
        <f t="shared" si="8"/>
        <v/>
      </c>
      <c r="S106" s="30" t="str">
        <f t="shared" si="9"/>
        <v/>
      </c>
      <c r="T106" s="30" t="str">
        <f t="shared" si="10"/>
        <v/>
      </c>
      <c r="U106" s="30" t="str">
        <f t="shared" si="11"/>
        <v/>
      </c>
      <c r="V106" s="30" t="str">
        <f t="shared" si="12"/>
        <v/>
      </c>
      <c r="W106" s="30" t="str">
        <f t="shared" si="13"/>
        <v/>
      </c>
      <c r="X106" s="30" t="str">
        <f t="shared" si="14"/>
        <v/>
      </c>
    </row>
    <row r="107" spans="1:24" ht="32.4" customHeight="1" x14ac:dyDescent="0.3">
      <c r="A107" s="51" t="str">
        <f>IF(ISNA(VLOOKUP(B107,Shortlist_xref!$A$5:$B$77,2,FALSE))=TRUE,"-",VLOOKUP(B107,Shortlist_xref!$A$5:$B$77,2,FALSE))</f>
        <v>-</v>
      </c>
      <c r="B107" s="57" t="s">
        <v>891</v>
      </c>
      <c r="C107" s="58" t="s">
        <v>181</v>
      </c>
      <c r="D107" s="58" t="s">
        <v>892</v>
      </c>
      <c r="E107" s="58" t="s">
        <v>893</v>
      </c>
      <c r="F107" s="9">
        <v>179.87675461949192</v>
      </c>
      <c r="G107" s="9">
        <v>164.85281978909705</v>
      </c>
      <c r="H107" s="9">
        <v>200.53193503856912</v>
      </c>
      <c r="I107" s="9">
        <v>138.15574319066823</v>
      </c>
      <c r="J107" s="9">
        <v>247.84130536512274</v>
      </c>
      <c r="K107" s="9">
        <v>109.9003711879736</v>
      </c>
      <c r="L107" s="49" t="s">
        <v>381</v>
      </c>
      <c r="M107" s="49" t="s">
        <v>381</v>
      </c>
      <c r="N107" s="49" t="s">
        <v>381</v>
      </c>
      <c r="O107" s="49" t="s">
        <v>381</v>
      </c>
      <c r="P107" s="49" t="s">
        <v>381</v>
      </c>
      <c r="Q107" s="49" t="s">
        <v>381</v>
      </c>
      <c r="R107" s="30" t="str">
        <f t="shared" si="8"/>
        <v/>
      </c>
      <c r="S107" s="30" t="str">
        <f t="shared" si="9"/>
        <v/>
      </c>
      <c r="T107" s="30" t="str">
        <f t="shared" si="10"/>
        <v/>
      </c>
      <c r="U107" s="30" t="str">
        <f t="shared" si="11"/>
        <v/>
      </c>
      <c r="V107" s="30" t="str">
        <f t="shared" si="12"/>
        <v/>
      </c>
      <c r="W107" s="30" t="str">
        <f t="shared" si="13"/>
        <v/>
      </c>
      <c r="X107" s="30" t="str">
        <f t="shared" si="14"/>
        <v/>
      </c>
    </row>
    <row r="108" spans="1:24" x14ac:dyDescent="0.3">
      <c r="A108" s="51" t="str">
        <f>IF(ISNA(VLOOKUP(B108,Shortlist_xref!$A$5:$B$77,2,FALSE))=TRUE,"-",VLOOKUP(B108,Shortlist_xref!$A$5:$B$77,2,FALSE))</f>
        <v>-</v>
      </c>
      <c r="B108" s="57" t="s">
        <v>891</v>
      </c>
      <c r="C108" s="58" t="s">
        <v>181</v>
      </c>
      <c r="D108" s="58" t="s">
        <v>892</v>
      </c>
      <c r="E108" s="58" t="s">
        <v>53</v>
      </c>
      <c r="F108" s="9">
        <v>246.50662070801525</v>
      </c>
      <c r="G108" s="9">
        <v>191.35153666057343</v>
      </c>
      <c r="H108" s="9">
        <v>242.26246632811839</v>
      </c>
      <c r="I108" s="9">
        <v>163.7391870906408</v>
      </c>
      <c r="J108" s="9">
        <v>308.10788548773769</v>
      </c>
      <c r="K108" s="9">
        <v>130.54388879430309</v>
      </c>
      <c r="L108" s="49" t="s">
        <v>381</v>
      </c>
      <c r="M108" s="49" t="s">
        <v>381</v>
      </c>
      <c r="N108" s="49" t="s">
        <v>381</v>
      </c>
      <c r="O108" s="49" t="s">
        <v>381</v>
      </c>
      <c r="P108" s="49" t="s">
        <v>381</v>
      </c>
      <c r="Q108" s="49" t="s">
        <v>381</v>
      </c>
      <c r="R108" s="30" t="str">
        <f t="shared" si="8"/>
        <v/>
      </c>
      <c r="S108" s="30" t="str">
        <f t="shared" si="9"/>
        <v/>
      </c>
      <c r="T108" s="30" t="str">
        <f t="shared" si="10"/>
        <v/>
      </c>
      <c r="U108" s="30" t="str">
        <f t="shared" si="11"/>
        <v/>
      </c>
      <c r="V108" s="30" t="str">
        <f t="shared" si="12"/>
        <v/>
      </c>
      <c r="W108" s="30" t="str">
        <f t="shared" si="13"/>
        <v/>
      </c>
      <c r="X108" s="30" t="str">
        <f t="shared" si="14"/>
        <v/>
      </c>
    </row>
    <row r="109" spans="1:24" x14ac:dyDescent="0.3">
      <c r="A109" s="51" t="str">
        <f>IF(ISNA(VLOOKUP(B109,Shortlist_xref!$A$5:$B$77,2,FALSE))=TRUE,"-",VLOOKUP(B109,Shortlist_xref!$A$5:$B$77,2,FALSE))</f>
        <v>R-Select</v>
      </c>
      <c r="B109" s="57" t="s">
        <v>196</v>
      </c>
      <c r="C109" s="58" t="s">
        <v>197</v>
      </c>
      <c r="D109" s="58" t="s">
        <v>198</v>
      </c>
      <c r="E109" s="58" t="s">
        <v>12</v>
      </c>
      <c r="F109" s="9">
        <v>27.814008011732586</v>
      </c>
      <c r="G109" s="9">
        <v>13.651423118755449</v>
      </c>
      <c r="H109" s="9">
        <v>16.203638784120262</v>
      </c>
      <c r="I109" s="9">
        <v>11.063185918558784</v>
      </c>
      <c r="J109" s="9">
        <v>24.073491620523729</v>
      </c>
      <c r="K109" s="9">
        <v>10.522959217464665</v>
      </c>
      <c r="L109" s="49" t="s">
        <v>381</v>
      </c>
      <c r="M109" s="49" t="s">
        <v>381</v>
      </c>
      <c r="N109" s="49" t="s">
        <v>381</v>
      </c>
      <c r="O109" s="49" t="s">
        <v>381</v>
      </c>
      <c r="P109" s="49" t="s">
        <v>381</v>
      </c>
      <c r="Q109" s="49" t="s">
        <v>381</v>
      </c>
      <c r="R109" s="30" t="str">
        <f t="shared" si="8"/>
        <v/>
      </c>
      <c r="S109" s="30" t="str">
        <f t="shared" si="9"/>
        <v/>
      </c>
      <c r="T109" s="30" t="str">
        <f t="shared" si="10"/>
        <v/>
      </c>
      <c r="U109" s="30" t="str">
        <f t="shared" si="11"/>
        <v/>
      </c>
      <c r="V109" s="30" t="str">
        <f t="shared" si="12"/>
        <v/>
      </c>
      <c r="W109" s="30" t="str">
        <f t="shared" si="13"/>
        <v/>
      </c>
      <c r="X109" s="30" t="str">
        <f t="shared" si="14"/>
        <v/>
      </c>
    </row>
    <row r="110" spans="1:24" x14ac:dyDescent="0.3">
      <c r="A110" s="51" t="str">
        <f>IF(ISNA(VLOOKUP(B110,Shortlist_xref!$A$5:$B$77,2,FALSE))=TRUE,"-",VLOOKUP(B110,Shortlist_xref!$A$5:$B$77,2,FALSE))</f>
        <v>R-Select</v>
      </c>
      <c r="B110" s="57" t="s">
        <v>196</v>
      </c>
      <c r="C110" s="58" t="s">
        <v>197</v>
      </c>
      <c r="D110" s="58" t="s">
        <v>198</v>
      </c>
      <c r="E110" s="58" t="s">
        <v>53</v>
      </c>
      <c r="F110" s="9">
        <v>146.729584347095</v>
      </c>
      <c r="G110" s="9">
        <v>76.922986886857998</v>
      </c>
      <c r="H110" s="9">
        <v>87.833010920309007</v>
      </c>
      <c r="I110" s="9">
        <v>61.54786622903201</v>
      </c>
      <c r="J110" s="9">
        <v>133.71984499425599</v>
      </c>
      <c r="K110" s="9">
        <v>57.019776310358992</v>
      </c>
      <c r="L110" s="49" t="s">
        <v>381</v>
      </c>
      <c r="M110" s="49" t="s">
        <v>381</v>
      </c>
      <c r="N110" s="49" t="s">
        <v>381</v>
      </c>
      <c r="O110" s="49" t="s">
        <v>381</v>
      </c>
      <c r="P110" s="49" t="s">
        <v>381</v>
      </c>
      <c r="Q110" s="49" t="s">
        <v>381</v>
      </c>
      <c r="R110" s="30" t="str">
        <f t="shared" si="8"/>
        <v/>
      </c>
      <c r="S110" s="30" t="str">
        <f t="shared" si="9"/>
        <v/>
      </c>
      <c r="T110" s="30" t="str">
        <f t="shared" si="10"/>
        <v/>
      </c>
      <c r="U110" s="30" t="str">
        <f t="shared" si="11"/>
        <v/>
      </c>
      <c r="V110" s="30" t="str">
        <f t="shared" si="12"/>
        <v/>
      </c>
      <c r="W110" s="30" t="str">
        <f t="shared" si="13"/>
        <v/>
      </c>
      <c r="X110" s="30" t="str">
        <f t="shared" si="14"/>
        <v/>
      </c>
    </row>
    <row r="111" spans="1:24" x14ac:dyDescent="0.3">
      <c r="A111" s="51" t="str">
        <f>IF(ISNA(VLOOKUP(B111,Shortlist_xref!$A$5:$B$77,2,FALSE))=TRUE,"-",VLOOKUP(B111,Shortlist_xref!$A$5:$B$77,2,FALSE))</f>
        <v>-</v>
      </c>
      <c r="B111" s="57" t="s">
        <v>901</v>
      </c>
      <c r="C111" s="58" t="s">
        <v>902</v>
      </c>
      <c r="D111" s="58" t="s">
        <v>773</v>
      </c>
      <c r="E111" s="58" t="s">
        <v>12</v>
      </c>
      <c r="F111" s="9">
        <v>6.5656257446569999</v>
      </c>
      <c r="G111" s="9">
        <v>3.3099218650369999</v>
      </c>
      <c r="H111" s="9">
        <v>22.218163933616999</v>
      </c>
      <c r="I111" s="9">
        <v>23.755758603053</v>
      </c>
      <c r="J111" s="9">
        <v>4.6368815362559994</v>
      </c>
      <c r="K111" s="9">
        <v>15.667686504971</v>
      </c>
      <c r="L111" s="49" t="s">
        <v>381</v>
      </c>
      <c r="M111" s="49" t="s">
        <v>381</v>
      </c>
      <c r="N111" s="49" t="s">
        <v>381</v>
      </c>
      <c r="O111" s="49" t="s">
        <v>381</v>
      </c>
      <c r="P111" s="49" t="s">
        <v>381</v>
      </c>
      <c r="Q111" s="49" t="s">
        <v>381</v>
      </c>
      <c r="R111" s="30" t="str">
        <f t="shared" si="8"/>
        <v/>
      </c>
      <c r="S111" s="30" t="str">
        <f t="shared" si="9"/>
        <v/>
      </c>
      <c r="T111" s="30" t="str">
        <f t="shared" si="10"/>
        <v/>
      </c>
      <c r="U111" s="30" t="str">
        <f t="shared" si="11"/>
        <v/>
      </c>
      <c r="V111" s="30" t="str">
        <f t="shared" si="12"/>
        <v/>
      </c>
      <c r="W111" s="30" t="str">
        <f t="shared" si="13"/>
        <v/>
      </c>
      <c r="X111" s="30" t="str">
        <f t="shared" si="14"/>
        <v/>
      </c>
    </row>
    <row r="112" spans="1:24" x14ac:dyDescent="0.3">
      <c r="A112" s="51" t="str">
        <f>IF(ISNA(VLOOKUP(B112,Shortlist_xref!$A$5:$B$77,2,FALSE))=TRUE,"-",VLOOKUP(B112,Shortlist_xref!$A$5:$B$77,2,FALSE))</f>
        <v>-</v>
      </c>
      <c r="B112" s="57" t="s">
        <v>901</v>
      </c>
      <c r="C112" s="58" t="s">
        <v>902</v>
      </c>
      <c r="D112" s="58" t="s">
        <v>773</v>
      </c>
      <c r="E112" s="58" t="s">
        <v>53</v>
      </c>
      <c r="F112" s="9">
        <v>54.014036726606996</v>
      </c>
      <c r="G112" s="9">
        <v>31.050330517128</v>
      </c>
      <c r="H112" s="9">
        <v>176.95442733331802</v>
      </c>
      <c r="I112" s="9">
        <v>185.31853067882599</v>
      </c>
      <c r="J112" s="9">
        <v>43.708088524816006</v>
      </c>
      <c r="K112" s="9">
        <v>123.84576185385801</v>
      </c>
      <c r="L112" s="49" t="s">
        <v>381</v>
      </c>
      <c r="M112" s="49" t="s">
        <v>381</v>
      </c>
      <c r="N112" s="49" t="s">
        <v>381</v>
      </c>
      <c r="O112" s="49" t="s">
        <v>381</v>
      </c>
      <c r="P112" s="49" t="s">
        <v>381</v>
      </c>
      <c r="Q112" s="49" t="s">
        <v>381</v>
      </c>
      <c r="R112" s="30" t="str">
        <f t="shared" si="8"/>
        <v/>
      </c>
      <c r="S112" s="30" t="str">
        <f t="shared" si="9"/>
        <v/>
      </c>
      <c r="T112" s="30" t="str">
        <f t="shared" si="10"/>
        <v/>
      </c>
      <c r="U112" s="30" t="str">
        <f t="shared" si="11"/>
        <v/>
      </c>
      <c r="V112" s="30" t="str">
        <f t="shared" si="12"/>
        <v/>
      </c>
      <c r="W112" s="30" t="str">
        <f t="shared" si="13"/>
        <v/>
      </c>
      <c r="X112" s="30" t="str">
        <f t="shared" si="14"/>
        <v/>
      </c>
    </row>
    <row r="113" spans="1:25" x14ac:dyDescent="0.3">
      <c r="A113" s="78"/>
      <c r="B113" s="14"/>
      <c r="C113" s="78"/>
      <c r="E113" s="78"/>
      <c r="G113" s="78"/>
      <c r="I113" s="78"/>
      <c r="K113" s="78"/>
      <c r="M113" s="78"/>
      <c r="O113" s="78"/>
      <c r="Q113" s="78"/>
      <c r="R113" t="str">
        <f t="shared" si="8"/>
        <v/>
      </c>
      <c r="S113" s="78" t="str">
        <f t="shared" si="9"/>
        <v/>
      </c>
      <c r="T113" t="str">
        <f t="shared" si="10"/>
        <v/>
      </c>
      <c r="U113" s="78" t="str">
        <f t="shared" si="11"/>
        <v/>
      </c>
      <c r="V113" t="str">
        <f t="shared" si="12"/>
        <v/>
      </c>
      <c r="W113" s="78" t="str">
        <f t="shared" si="13"/>
        <v/>
      </c>
      <c r="Y113" s="78"/>
    </row>
    <row r="114" spans="1:25" x14ac:dyDescent="0.3">
      <c r="A114" s="78"/>
      <c r="B114" s="97" t="s">
        <v>73</v>
      </c>
      <c r="C114" s="78"/>
      <c r="E114" s="78"/>
      <c r="G114" s="78"/>
      <c r="I114" s="78"/>
      <c r="K114" s="78"/>
      <c r="M114" s="78"/>
      <c r="O114" s="78"/>
      <c r="Q114" s="78"/>
      <c r="S114" s="78"/>
      <c r="U114" s="78"/>
      <c r="W114" s="78"/>
      <c r="Y114" s="78"/>
    </row>
    <row r="115" spans="1:25" x14ac:dyDescent="0.3">
      <c r="B115" s="105"/>
      <c r="C115" t="s">
        <v>74</v>
      </c>
    </row>
    <row r="116" spans="1:25" x14ac:dyDescent="0.3">
      <c r="B116" s="105"/>
      <c r="C116" t="s">
        <v>282</v>
      </c>
    </row>
    <row r="117" spans="1:25" x14ac:dyDescent="0.3">
      <c r="B117" s="105"/>
      <c r="C117" s="107"/>
      <c r="D117" s="106"/>
    </row>
    <row r="118" spans="1:25" x14ac:dyDescent="0.3">
      <c r="B118" s="77"/>
    </row>
    <row r="119" spans="1:25" x14ac:dyDescent="0.3">
      <c r="B119" s="78"/>
    </row>
    <row r="120" spans="1:25" x14ac:dyDescent="0.3">
      <c r="B120" s="78"/>
    </row>
    <row r="121" spans="1:25" x14ac:dyDescent="0.3">
      <c r="B121" s="78"/>
    </row>
    <row r="122" spans="1:25" x14ac:dyDescent="0.3">
      <c r="B122" s="78"/>
    </row>
    <row r="123" spans="1:25" x14ac:dyDescent="0.3">
      <c r="B123" s="78"/>
    </row>
    <row r="124" spans="1:25" x14ac:dyDescent="0.3">
      <c r="B124" s="78"/>
    </row>
    <row r="125" spans="1:25" x14ac:dyDescent="0.3">
      <c r="B125" s="78"/>
    </row>
    <row r="126" spans="1:25" x14ac:dyDescent="0.3">
      <c r="B126" s="78"/>
    </row>
    <row r="127" spans="1:25" x14ac:dyDescent="0.3">
      <c r="B127" s="78"/>
    </row>
    <row r="128" spans="1:25" x14ac:dyDescent="0.3">
      <c r="B128" s="78"/>
    </row>
    <row r="129" spans="2:2" x14ac:dyDescent="0.3">
      <c r="B129" s="78"/>
    </row>
    <row r="130" spans="2:2" x14ac:dyDescent="0.3">
      <c r="B130" s="78"/>
    </row>
    <row r="131" spans="2:2" x14ac:dyDescent="0.3">
      <c r="B131" s="78"/>
    </row>
  </sheetData>
  <autoFilter ref="A2:BB116" xr:uid="{6ECF24D0-87FF-4222-B065-C0452AEEFEF3}"/>
  <mergeCells count="7">
    <mergeCell ref="L1:Q1"/>
    <mergeCell ref="A1:A2"/>
    <mergeCell ref="B1:B2"/>
    <mergeCell ref="C1:C2"/>
    <mergeCell ref="D1:D2"/>
    <mergeCell ref="E1:E2"/>
    <mergeCell ref="F1:K1"/>
  </mergeCells>
  <conditionalFormatting sqref="F4:K112">
    <cfRule type="cellIs" dxfId="5" priority="1" operator="between">
      <formula>0.0000000001</formula>
      <formula>0.999999</formula>
    </cfRule>
  </conditionalFormatting>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ABAD09-8A07-4CDC-9498-744E730D36F0}">
  <sheetPr>
    <tabColor theme="1"/>
  </sheetPr>
  <dimension ref="A1:AB111"/>
  <sheetViews>
    <sheetView zoomScale="85" zoomScaleNormal="85" workbookViewId="0">
      <pane xSplit="5" ySplit="1" topLeftCell="F2" activePane="bottomRight" state="frozen"/>
      <selection pane="topRight" activeCell="F1" sqref="F1"/>
      <selection pane="bottomLeft" activeCell="A2" sqref="A2"/>
      <selection pane="bottomRight" sqref="A1:XFD1048576"/>
    </sheetView>
  </sheetViews>
  <sheetFormatPr defaultRowHeight="14.4" x14ac:dyDescent="0.3"/>
  <cols>
    <col min="1" max="1" width="11.69921875" customWidth="1"/>
    <col min="2" max="2" width="7" customWidth="1"/>
    <col min="3" max="3" width="29.3984375" style="41" customWidth="1"/>
    <col min="4" max="4" width="44.09765625" style="41" customWidth="1"/>
    <col min="5" max="5" width="15.19921875" style="41" customWidth="1"/>
    <col min="6" max="6" width="15.19921875" customWidth="1"/>
    <col min="7" max="7" width="17.19921875" style="42" customWidth="1"/>
    <col min="8" max="8" width="21.296875" style="40" customWidth="1"/>
    <col min="9" max="9" width="15.296875" style="43" customWidth="1"/>
    <col min="10" max="10" width="17.8984375" customWidth="1"/>
    <col min="11" max="11" width="35.19921875" customWidth="1"/>
    <col min="12" max="12" width="30.796875" customWidth="1"/>
    <col min="13" max="13" width="26" customWidth="1"/>
    <col min="14" max="14" width="51.8984375" customWidth="1"/>
    <col min="15" max="16" width="12.296875" customWidth="1"/>
    <col min="17" max="21" width="21.3984375" customWidth="1"/>
    <col min="22" max="22" width="8.8984375" style="150" hidden="1" customWidth="1"/>
    <col min="23" max="23" width="11.59765625" style="187" hidden="1" customWidth="1"/>
    <col min="24" max="24" width="0" style="187" hidden="1" customWidth="1"/>
    <col min="28" max="28" width="8.796875" style="150"/>
  </cols>
  <sheetData>
    <row r="1" spans="1:28" ht="57.6" x14ac:dyDescent="0.3">
      <c r="A1" s="117" t="s">
        <v>238</v>
      </c>
      <c r="B1" s="118" t="s">
        <v>0</v>
      </c>
      <c r="C1" s="139" t="s">
        <v>1</v>
      </c>
      <c r="D1" s="139" t="s">
        <v>2</v>
      </c>
      <c r="E1" s="139" t="s">
        <v>3</v>
      </c>
      <c r="F1" s="118" t="s">
        <v>75</v>
      </c>
      <c r="G1" s="140" t="s">
        <v>5</v>
      </c>
      <c r="H1" s="118" t="s">
        <v>6</v>
      </c>
      <c r="I1" s="141" t="s">
        <v>284</v>
      </c>
      <c r="J1" s="118" t="s">
        <v>221</v>
      </c>
      <c r="K1" s="2" t="s">
        <v>7</v>
      </c>
      <c r="L1" s="2" t="s">
        <v>302</v>
      </c>
      <c r="M1" s="2" t="s">
        <v>371</v>
      </c>
      <c r="N1" s="2" t="s">
        <v>372</v>
      </c>
      <c r="O1" s="2" t="s">
        <v>606</v>
      </c>
      <c r="P1" s="2" t="s">
        <v>607</v>
      </c>
      <c r="Q1" s="174" t="s">
        <v>342</v>
      </c>
      <c r="R1" s="174" t="s">
        <v>343</v>
      </c>
      <c r="S1" s="174" t="s">
        <v>344</v>
      </c>
      <c r="T1" s="174" t="s">
        <v>345</v>
      </c>
      <c r="U1" s="174" t="s">
        <v>346</v>
      </c>
    </row>
    <row r="2" spans="1:28" s="30" customFormat="1" x14ac:dyDescent="0.25">
      <c r="A2" s="119" t="s">
        <v>77</v>
      </c>
      <c r="B2" s="26"/>
      <c r="C2" s="26"/>
      <c r="D2" s="26"/>
      <c r="E2" s="26"/>
      <c r="F2" s="27"/>
      <c r="G2" s="28"/>
      <c r="H2" s="28"/>
      <c r="I2" s="29"/>
      <c r="J2" s="28"/>
      <c r="K2" s="28"/>
      <c r="L2" s="28"/>
      <c r="M2" s="28"/>
      <c r="N2" s="28"/>
      <c r="O2" s="28"/>
      <c r="P2" s="28"/>
      <c r="V2" s="151" t="b">
        <v>1</v>
      </c>
      <c r="W2" s="188" t="str">
        <f>B2&amp;E2</f>
        <v/>
      </c>
      <c r="X2" s="189"/>
      <c r="AB2" s="151"/>
    </row>
    <row r="3" spans="1:28" ht="32.85" x14ac:dyDescent="0.3">
      <c r="A3" s="51" t="str">
        <f>IF(ISNA(VLOOKUP(B3,Shortlist_xref!$A$5:$B$77,2,FALSE))=TRUE,"-",VLOOKUP(B3,Shortlist_xref!$A$5:$B$77,2,FALSE))</f>
        <v>C-E</v>
      </c>
      <c r="B3" s="3" t="s">
        <v>78</v>
      </c>
      <c r="C3" s="5" t="s">
        <v>79</v>
      </c>
      <c r="D3" s="5" t="s">
        <v>80</v>
      </c>
      <c r="E3" s="5" t="s">
        <v>12</v>
      </c>
      <c r="F3" s="31">
        <v>0.1</v>
      </c>
      <c r="G3" s="32">
        <v>0.45</v>
      </c>
      <c r="H3" s="33">
        <v>0</v>
      </c>
      <c r="I3" s="34">
        <v>2.9947142923666036E-2</v>
      </c>
      <c r="J3" s="9">
        <v>1445.0070119374473</v>
      </c>
      <c r="K3" s="35" t="s">
        <v>911</v>
      </c>
      <c r="L3" s="35" t="s">
        <v>613</v>
      </c>
      <c r="M3" s="195" t="s">
        <v>614</v>
      </c>
      <c r="N3" s="195" t="s">
        <v>381</v>
      </c>
      <c r="O3" s="195" t="s">
        <v>381</v>
      </c>
      <c r="P3" s="195" t="s">
        <v>381</v>
      </c>
      <c r="Q3" s="173" t="s">
        <v>1171</v>
      </c>
      <c r="R3" s="173" t="s">
        <v>1171</v>
      </c>
      <c r="S3" s="173" t="s">
        <v>1171</v>
      </c>
      <c r="T3" s="173" t="s">
        <v>1171</v>
      </c>
      <c r="U3" s="173" t="s">
        <v>1172</v>
      </c>
      <c r="V3" s="151" t="b">
        <v>1</v>
      </c>
      <c r="W3" s="188" t="str">
        <f t="shared" ref="W3:W66" si="0">B3&amp;E3</f>
        <v>NP - 1NOx</v>
      </c>
      <c r="X3" s="190">
        <f>H3</f>
        <v>0</v>
      </c>
      <c r="Y3" s="42"/>
      <c r="Z3" s="42"/>
      <c r="AA3" s="42"/>
    </row>
    <row r="4" spans="1:28" x14ac:dyDescent="0.3">
      <c r="A4" s="51" t="str">
        <f>IF(ISNA(VLOOKUP(B4,Shortlist_xref!$A$5:$B$77,2,FALSE))=TRUE,"-",VLOOKUP(B4,Shortlist_xref!$A$5:$B$77,2,FALSE))</f>
        <v>-</v>
      </c>
      <c r="B4" s="3" t="s">
        <v>912</v>
      </c>
      <c r="C4" s="5" t="s">
        <v>913</v>
      </c>
      <c r="D4" s="5" t="s">
        <v>914</v>
      </c>
      <c r="E4" s="5" t="s">
        <v>12</v>
      </c>
      <c r="F4" s="31">
        <v>0.1</v>
      </c>
      <c r="G4" s="32">
        <v>0.31</v>
      </c>
      <c r="H4" s="33" t="s">
        <v>915</v>
      </c>
      <c r="I4" s="34">
        <v>1.7006864391475276E-2</v>
      </c>
      <c r="J4" s="9">
        <v>565.31171837671513</v>
      </c>
      <c r="K4" s="35"/>
      <c r="L4" s="35" t="s">
        <v>613</v>
      </c>
      <c r="M4" s="195" t="s">
        <v>614</v>
      </c>
      <c r="N4" s="195" t="s">
        <v>916</v>
      </c>
      <c r="O4" s="195" t="s">
        <v>381</v>
      </c>
      <c r="P4" s="195" t="s">
        <v>381</v>
      </c>
      <c r="Q4" s="173" t="s">
        <v>1171</v>
      </c>
      <c r="R4" s="173" t="s">
        <v>1171</v>
      </c>
      <c r="S4" s="173" t="s">
        <v>1171</v>
      </c>
      <c r="T4" s="173" t="s">
        <v>1171</v>
      </c>
      <c r="U4" s="173" t="s">
        <v>1172</v>
      </c>
      <c r="V4" s="151" t="b">
        <v>1</v>
      </c>
      <c r="W4" s="188" t="str">
        <f t="shared" si="0"/>
        <v>NP - 2NOx</v>
      </c>
      <c r="X4" s="190" t="str">
        <f t="shared" ref="X4:X67" si="1">H4</f>
        <v>$2,419-$2,638 / ton NOx</v>
      </c>
      <c r="Y4" s="42"/>
      <c r="Z4" s="42"/>
      <c r="AA4" s="42"/>
    </row>
    <row r="5" spans="1:28" x14ac:dyDescent="0.3">
      <c r="A5" s="51" t="str">
        <f>IF(ISNA(VLOOKUP(B5,Shortlist_xref!$A$5:$B$77,2,FALSE))=TRUE,"-",VLOOKUP(B5,Shortlist_xref!$A$5:$B$77,2,FALSE))</f>
        <v>-</v>
      </c>
      <c r="B5" s="3" t="s">
        <v>917</v>
      </c>
      <c r="C5" s="5" t="s">
        <v>913</v>
      </c>
      <c r="D5" s="5" t="s">
        <v>918</v>
      </c>
      <c r="E5" s="5" t="s">
        <v>12</v>
      </c>
      <c r="F5" s="31">
        <v>0.1</v>
      </c>
      <c r="G5" s="32">
        <v>0.31</v>
      </c>
      <c r="H5" s="33" t="s">
        <v>919</v>
      </c>
      <c r="I5" s="34">
        <v>1.6734461838878414E-2</v>
      </c>
      <c r="J5" s="9">
        <v>556.25700073129633</v>
      </c>
      <c r="K5" s="35"/>
      <c r="L5" s="35" t="s">
        <v>613</v>
      </c>
      <c r="M5" s="195" t="s">
        <v>614</v>
      </c>
      <c r="N5" s="195" t="s">
        <v>916</v>
      </c>
      <c r="O5" s="195" t="s">
        <v>381</v>
      </c>
      <c r="P5" s="195" t="s">
        <v>381</v>
      </c>
      <c r="Q5" s="173" t="s">
        <v>1171</v>
      </c>
      <c r="R5" s="173" t="s">
        <v>1171</v>
      </c>
      <c r="S5" s="173" t="s">
        <v>1171</v>
      </c>
      <c r="T5" s="173" t="s">
        <v>1171</v>
      </c>
      <c r="U5" s="173" t="s">
        <v>1172</v>
      </c>
      <c r="V5" s="151" t="b">
        <v>1</v>
      </c>
      <c r="W5" s="188" t="str">
        <f t="shared" si="0"/>
        <v>NP - 3NOx</v>
      </c>
      <c r="X5" s="190" t="str">
        <f t="shared" si="1"/>
        <v>$2,419-$2,638 /ton NOx</v>
      </c>
      <c r="Y5" s="42"/>
      <c r="Z5" s="42"/>
      <c r="AA5" s="42"/>
    </row>
    <row r="6" spans="1:28" ht="44.95" customHeight="1" x14ac:dyDescent="0.3">
      <c r="A6" s="51" t="str">
        <f>IF(ISNA(VLOOKUP(B6,Shortlist_xref!$A$5:$B$77,2,FALSE))=TRUE,"-",VLOOKUP(B6,Shortlist_xref!$A$5:$B$77,2,FALSE))</f>
        <v>-</v>
      </c>
      <c r="B6" s="3" t="s">
        <v>920</v>
      </c>
      <c r="C6" s="5" t="s">
        <v>921</v>
      </c>
      <c r="D6" s="5" t="s">
        <v>922</v>
      </c>
      <c r="E6" s="5" t="s">
        <v>12</v>
      </c>
      <c r="F6" s="31">
        <v>0.01</v>
      </c>
      <c r="G6" s="32">
        <v>0.65</v>
      </c>
      <c r="H6" s="33" t="s">
        <v>923</v>
      </c>
      <c r="I6" s="34">
        <v>9.964857448322903E-2</v>
      </c>
      <c r="J6" s="9">
        <v>694.5227759468263</v>
      </c>
      <c r="K6" s="35" t="s">
        <v>911</v>
      </c>
      <c r="L6" s="35" t="s">
        <v>566</v>
      </c>
      <c r="M6" s="195" t="s">
        <v>924</v>
      </c>
      <c r="N6" s="195" t="s">
        <v>925</v>
      </c>
      <c r="O6" s="195" t="s">
        <v>916</v>
      </c>
      <c r="P6" s="195" t="s">
        <v>926</v>
      </c>
      <c r="Q6" s="173" t="s">
        <v>1171</v>
      </c>
      <c r="R6" s="173" t="s">
        <v>1172</v>
      </c>
      <c r="S6" s="173" t="s">
        <v>1172</v>
      </c>
      <c r="T6" s="173" t="s">
        <v>1172</v>
      </c>
      <c r="U6" s="173" t="s">
        <v>1172</v>
      </c>
      <c r="V6" s="151" t="b">
        <v>1</v>
      </c>
      <c r="W6" s="188" t="str">
        <f t="shared" si="0"/>
        <v>NP - 4NOx</v>
      </c>
      <c r="X6" s="190" t="str">
        <f t="shared" si="1"/>
        <v>$8,600 - $19,000 /ton NOx</v>
      </c>
      <c r="Y6" s="42"/>
      <c r="Z6" s="42"/>
      <c r="AA6" s="42"/>
    </row>
    <row r="7" spans="1:28" ht="24.2" x14ac:dyDescent="0.3">
      <c r="A7" s="51" t="str">
        <f>IF(ISNA(VLOOKUP(B7,Shortlist_xref!$A$5:$B$77,2,FALSE))=TRUE,"-",VLOOKUP(B7,Shortlist_xref!$A$5:$B$77,2,FALSE))</f>
        <v>EmissRed</v>
      </c>
      <c r="B7" s="3" t="s">
        <v>81</v>
      </c>
      <c r="C7" s="5" t="s">
        <v>82</v>
      </c>
      <c r="D7" s="5" t="s">
        <v>83</v>
      </c>
      <c r="E7" s="5" t="s">
        <v>12</v>
      </c>
      <c r="F7" s="31">
        <v>0.1</v>
      </c>
      <c r="G7" s="32">
        <v>0.96</v>
      </c>
      <c r="H7" s="33" t="s">
        <v>927</v>
      </c>
      <c r="I7" s="34">
        <v>4.8074418668984459E-2</v>
      </c>
      <c r="J7" s="9">
        <v>4948.6566202196727</v>
      </c>
      <c r="K7" s="35" t="s">
        <v>928</v>
      </c>
      <c r="L7" s="35" t="s">
        <v>929</v>
      </c>
      <c r="M7" s="195" t="s">
        <v>930</v>
      </c>
      <c r="N7" s="195" t="s">
        <v>931</v>
      </c>
      <c r="O7" s="195" t="s">
        <v>932</v>
      </c>
      <c r="P7" s="195" t="s">
        <v>381</v>
      </c>
      <c r="Q7" s="173" t="s">
        <v>1171</v>
      </c>
      <c r="R7" s="173" t="s">
        <v>1171</v>
      </c>
      <c r="S7" s="173" t="s">
        <v>1171</v>
      </c>
      <c r="T7" s="173" t="s">
        <v>1172</v>
      </c>
      <c r="U7" s="173" t="s">
        <v>1172</v>
      </c>
      <c r="V7" s="151" t="b">
        <v>1</v>
      </c>
      <c r="W7" s="188" t="str">
        <f t="shared" si="0"/>
        <v>NP - 5NOx</v>
      </c>
      <c r="X7" s="190" t="str">
        <f t="shared" si="1"/>
        <v>$20,000 - $200,000/ton</v>
      </c>
      <c r="Y7" s="42"/>
      <c r="Z7" s="42"/>
      <c r="AA7" s="42"/>
    </row>
    <row r="8" spans="1:28" ht="22.9" customHeight="1" x14ac:dyDescent="0.3">
      <c r="A8" s="51" t="str">
        <f>IF(ISNA(VLOOKUP(B8,Shortlist_xref!$A$5:$B$77,2,FALSE))=TRUE,"-",VLOOKUP(B8,Shortlist_xref!$A$5:$B$77,2,FALSE))</f>
        <v>EmissRed</v>
      </c>
      <c r="B8" s="3" t="s">
        <v>81</v>
      </c>
      <c r="C8" s="5" t="s">
        <v>82</v>
      </c>
      <c r="D8" s="5" t="s">
        <v>83</v>
      </c>
      <c r="E8" s="5" t="s">
        <v>53</v>
      </c>
      <c r="F8" s="31" t="s">
        <v>37</v>
      </c>
      <c r="G8" s="32" t="s">
        <v>37</v>
      </c>
      <c r="H8" s="33" t="s">
        <v>37</v>
      </c>
      <c r="I8" s="34">
        <v>2.2424202125715382E-3</v>
      </c>
      <c r="J8" s="9" t="s">
        <v>37</v>
      </c>
      <c r="K8" s="35"/>
      <c r="L8" s="35" t="s">
        <v>929</v>
      </c>
      <c r="M8" s="195" t="s">
        <v>930</v>
      </c>
      <c r="N8" s="195" t="s">
        <v>931</v>
      </c>
      <c r="O8" s="195" t="s">
        <v>932</v>
      </c>
      <c r="P8" s="195" t="s">
        <v>381</v>
      </c>
      <c r="Q8" s="173" t="s">
        <v>1171</v>
      </c>
      <c r="R8" s="173" t="s">
        <v>1172</v>
      </c>
      <c r="S8" s="173" t="s">
        <v>1172</v>
      </c>
      <c r="T8" s="173" t="s">
        <v>1171</v>
      </c>
      <c r="U8" s="173" t="s">
        <v>1172</v>
      </c>
      <c r="V8" s="151" t="b">
        <v>1</v>
      </c>
      <c r="W8" s="188" t="str">
        <f t="shared" si="0"/>
        <v>NP - 5VOC</v>
      </c>
      <c r="X8" s="190" t="str">
        <f t="shared" si="1"/>
        <v>NA</v>
      </c>
      <c r="Y8" s="42"/>
      <c r="Z8" s="42"/>
      <c r="AA8" s="42"/>
    </row>
    <row r="9" spans="1:28" ht="29.55" customHeight="1" x14ac:dyDescent="0.3">
      <c r="A9" s="51" t="str">
        <f>IF(ISNA(VLOOKUP(B9,Shortlist_xref!$A$5:$B$77,2,FALSE))=TRUE,"-",VLOOKUP(B9,Shortlist_xref!$A$5:$B$77,2,FALSE))</f>
        <v>EmissRed</v>
      </c>
      <c r="B9" s="3" t="s">
        <v>84</v>
      </c>
      <c r="C9" s="5" t="s">
        <v>85</v>
      </c>
      <c r="D9" s="5" t="s">
        <v>86</v>
      </c>
      <c r="E9" s="5" t="s">
        <v>12</v>
      </c>
      <c r="F9" s="31">
        <v>0.1</v>
      </c>
      <c r="G9" s="32">
        <v>0.41</v>
      </c>
      <c r="H9" s="33" t="s">
        <v>933</v>
      </c>
      <c r="I9" s="34">
        <v>0.10182339626862107</v>
      </c>
      <c r="J9" s="9">
        <v>4476.4473492230227</v>
      </c>
      <c r="K9" s="35" t="s">
        <v>911</v>
      </c>
      <c r="L9" s="35" t="s">
        <v>613</v>
      </c>
      <c r="M9" s="195" t="s">
        <v>614</v>
      </c>
      <c r="N9" s="195" t="s">
        <v>381</v>
      </c>
      <c r="O9" s="195" t="s">
        <v>381</v>
      </c>
      <c r="P9" s="195" t="s">
        <v>381</v>
      </c>
      <c r="Q9" s="173" t="s">
        <v>1171</v>
      </c>
      <c r="R9" s="173" t="s">
        <v>1171</v>
      </c>
      <c r="S9" s="173" t="s">
        <v>1171</v>
      </c>
      <c r="T9" s="173" t="s">
        <v>1171</v>
      </c>
      <c r="U9" s="173" t="s">
        <v>1172</v>
      </c>
      <c r="V9" s="151" t="b">
        <v>1</v>
      </c>
      <c r="W9" s="188" t="str">
        <f t="shared" si="0"/>
        <v>NP - 6NOx</v>
      </c>
      <c r="X9" s="190" t="str">
        <f t="shared" si="1"/>
        <v>$928-$1,974</v>
      </c>
      <c r="Y9" s="42"/>
      <c r="Z9" s="42"/>
      <c r="AA9" s="42"/>
    </row>
    <row r="10" spans="1:28" x14ac:dyDescent="0.3">
      <c r="A10" s="51" t="str">
        <f>IF(ISNA(VLOOKUP(B10,Shortlist_xref!$A$5:$B$77,2,FALSE))=TRUE,"-",VLOOKUP(B10,Shortlist_xref!$A$5:$B$77,2,FALSE))</f>
        <v>EmissRed</v>
      </c>
      <c r="B10" s="3" t="s">
        <v>87</v>
      </c>
      <c r="C10" s="5" t="s">
        <v>88</v>
      </c>
      <c r="D10" s="5" t="s">
        <v>89</v>
      </c>
      <c r="E10" s="5" t="s">
        <v>12</v>
      </c>
      <c r="F10" s="31">
        <v>0.1</v>
      </c>
      <c r="G10" s="32">
        <v>0.45</v>
      </c>
      <c r="H10" s="33">
        <v>20000</v>
      </c>
      <c r="I10" s="34">
        <v>0.11775342127344109</v>
      </c>
      <c r="J10" s="9">
        <v>5681.8281414511894</v>
      </c>
      <c r="K10" s="35"/>
      <c r="L10" s="35" t="s">
        <v>934</v>
      </c>
      <c r="M10" s="195" t="s">
        <v>571</v>
      </c>
      <c r="N10" s="195" t="s">
        <v>381</v>
      </c>
      <c r="O10" s="195" t="s">
        <v>381</v>
      </c>
      <c r="P10" s="195" t="s">
        <v>381</v>
      </c>
      <c r="Q10" s="173" t="s">
        <v>1171</v>
      </c>
      <c r="R10" s="173" t="s">
        <v>1171</v>
      </c>
      <c r="S10" s="173" t="s">
        <v>1171</v>
      </c>
      <c r="T10" s="173" t="s">
        <v>1171</v>
      </c>
      <c r="U10" s="173" t="s">
        <v>1172</v>
      </c>
      <c r="V10" s="151" t="b">
        <v>1</v>
      </c>
      <c r="W10" s="188" t="str">
        <f t="shared" si="0"/>
        <v>NP - 7NOx</v>
      </c>
      <c r="X10" s="190">
        <f t="shared" si="1"/>
        <v>20000</v>
      </c>
      <c r="Y10" s="42"/>
      <c r="Z10" s="42"/>
      <c r="AA10" s="42"/>
    </row>
    <row r="11" spans="1:28" x14ac:dyDescent="0.3">
      <c r="A11" s="51" t="str">
        <f>IF(ISNA(VLOOKUP(B11,Shortlist_xref!$A$5:$B$77,2,FALSE))=TRUE,"-",VLOOKUP(B11,Shortlist_xref!$A$5:$B$77,2,FALSE))</f>
        <v>EmissRed</v>
      </c>
      <c r="B11" s="3" t="s">
        <v>87</v>
      </c>
      <c r="C11" s="5" t="s">
        <v>88</v>
      </c>
      <c r="D11" s="5" t="s">
        <v>89</v>
      </c>
      <c r="E11" s="5" t="s">
        <v>53</v>
      </c>
      <c r="F11" s="31" t="s">
        <v>37</v>
      </c>
      <c r="G11" s="32" t="s">
        <v>37</v>
      </c>
      <c r="H11" s="33" t="s">
        <v>37</v>
      </c>
      <c r="I11" s="34">
        <v>4.9654292840139681E-3</v>
      </c>
      <c r="J11" s="9" t="s">
        <v>37</v>
      </c>
      <c r="K11" s="35"/>
      <c r="L11" s="35" t="s">
        <v>934</v>
      </c>
      <c r="M11" s="195" t="s">
        <v>571</v>
      </c>
      <c r="N11" s="195" t="s">
        <v>381</v>
      </c>
      <c r="O11" s="195" t="s">
        <v>381</v>
      </c>
      <c r="P11" s="195" t="s">
        <v>381</v>
      </c>
      <c r="Q11" s="173" t="s">
        <v>1171</v>
      </c>
      <c r="R11" s="173" t="s">
        <v>1171</v>
      </c>
      <c r="S11" s="173" t="s">
        <v>1171</v>
      </c>
      <c r="T11" s="173" t="s">
        <v>1171</v>
      </c>
      <c r="U11" s="173" t="s">
        <v>1172</v>
      </c>
      <c r="V11" s="151" t="b">
        <v>1</v>
      </c>
      <c r="W11" s="188" t="str">
        <f t="shared" si="0"/>
        <v>NP - 7VOC</v>
      </c>
      <c r="X11" s="190" t="str">
        <f t="shared" si="1"/>
        <v>NA</v>
      </c>
      <c r="Y11" s="42"/>
      <c r="Z11" s="42"/>
      <c r="AA11" s="42"/>
    </row>
    <row r="12" spans="1:28" ht="32.85" x14ac:dyDescent="0.3">
      <c r="A12" s="51" t="str">
        <f>IF(ISNA(VLOOKUP(B12,Shortlist_xref!$A$5:$B$77,2,FALSE))=TRUE,"-",VLOOKUP(B12,Shortlist_xref!$A$5:$B$77,2,FALSE))</f>
        <v>-</v>
      </c>
      <c r="B12" s="3" t="s">
        <v>90</v>
      </c>
      <c r="C12" s="5" t="s">
        <v>935</v>
      </c>
      <c r="D12" s="5" t="s">
        <v>936</v>
      </c>
      <c r="E12" s="5" t="s">
        <v>12</v>
      </c>
      <c r="F12" s="31">
        <v>0.01</v>
      </c>
      <c r="G12" s="32">
        <v>0.5</v>
      </c>
      <c r="H12" s="33" t="s">
        <v>937</v>
      </c>
      <c r="I12" s="34">
        <v>7.0982068815571314E-2</v>
      </c>
      <c r="J12" s="9">
        <v>380.557865725</v>
      </c>
      <c r="K12" s="35" t="s">
        <v>911</v>
      </c>
      <c r="L12" s="35" t="s">
        <v>934</v>
      </c>
      <c r="M12" s="195" t="s">
        <v>571</v>
      </c>
      <c r="N12" s="195" t="s">
        <v>381</v>
      </c>
      <c r="O12" s="195" t="s">
        <v>381</v>
      </c>
      <c r="P12" s="195" t="s">
        <v>381</v>
      </c>
      <c r="Q12" s="173" t="s">
        <v>1171</v>
      </c>
      <c r="R12" s="173" t="s">
        <v>1172</v>
      </c>
      <c r="S12" s="173" t="s">
        <v>1171</v>
      </c>
      <c r="T12" s="173" t="s">
        <v>1171</v>
      </c>
      <c r="U12" s="173" t="s">
        <v>1172</v>
      </c>
      <c r="V12" s="151" t="b">
        <v>1</v>
      </c>
      <c r="W12" s="188" t="str">
        <f t="shared" si="0"/>
        <v>NP - 8NOx</v>
      </c>
      <c r="X12" s="190" t="str">
        <f t="shared" si="1"/>
        <v>$15,000-$30,000</v>
      </c>
      <c r="Y12" s="42"/>
      <c r="Z12" s="42"/>
      <c r="AA12" s="42"/>
    </row>
    <row r="13" spans="1:28" x14ac:dyDescent="0.3">
      <c r="A13" s="119" t="s">
        <v>91</v>
      </c>
      <c r="B13" s="26"/>
      <c r="C13" s="26"/>
      <c r="D13" s="26"/>
      <c r="E13" s="26"/>
      <c r="F13" s="27"/>
      <c r="G13" s="28"/>
      <c r="H13" s="37"/>
      <c r="I13" s="29"/>
      <c r="J13" s="28"/>
      <c r="K13" s="38"/>
      <c r="L13" s="38"/>
      <c r="M13" s="196"/>
      <c r="N13" s="196"/>
      <c r="O13" s="196"/>
      <c r="P13" s="196"/>
      <c r="V13" s="151" t="b">
        <v>1</v>
      </c>
      <c r="W13" s="188" t="str">
        <f t="shared" si="0"/>
        <v/>
      </c>
      <c r="X13" s="190">
        <f t="shared" si="1"/>
        <v>0</v>
      </c>
    </row>
    <row r="14" spans="1:28" x14ac:dyDescent="0.3">
      <c r="A14" s="51" t="str">
        <f>IF(ISNA(VLOOKUP(B14,Shortlist_xref!$A$5:$B$77,2,FALSE))=TRUE,"-",VLOOKUP(B14,Shortlist_xref!$A$5:$B$77,2,FALSE))</f>
        <v>-</v>
      </c>
      <c r="B14" s="3" t="s">
        <v>938</v>
      </c>
      <c r="C14" s="5" t="s">
        <v>939</v>
      </c>
      <c r="D14" s="5" t="s">
        <v>940</v>
      </c>
      <c r="E14" s="5" t="s">
        <v>12</v>
      </c>
      <c r="F14" s="31">
        <v>0.1</v>
      </c>
      <c r="G14" s="32">
        <v>0.21</v>
      </c>
      <c r="H14" s="33">
        <v>2167</v>
      </c>
      <c r="I14" s="34">
        <v>1.8645976634681489E-3</v>
      </c>
      <c r="J14" s="9">
        <v>41.986190881158343</v>
      </c>
      <c r="K14" s="35"/>
      <c r="L14" s="35" t="s">
        <v>613</v>
      </c>
      <c r="M14" s="195" t="s">
        <v>614</v>
      </c>
      <c r="N14" s="195" t="s">
        <v>381</v>
      </c>
      <c r="O14" s="195" t="s">
        <v>381</v>
      </c>
      <c r="P14" s="195" t="s">
        <v>381</v>
      </c>
      <c r="Q14" s="173" t="s">
        <v>1171</v>
      </c>
      <c r="R14" s="173" t="s">
        <v>1171</v>
      </c>
      <c r="S14" s="173" t="s">
        <v>1171</v>
      </c>
      <c r="T14" s="173" t="s">
        <v>1171</v>
      </c>
      <c r="U14" s="173" t="s">
        <v>1172</v>
      </c>
      <c r="V14" s="151" t="b">
        <v>1</v>
      </c>
      <c r="W14" s="188" t="str">
        <f t="shared" si="0"/>
        <v>NP - 9NOx</v>
      </c>
      <c r="X14" s="190">
        <f t="shared" si="1"/>
        <v>2167</v>
      </c>
      <c r="Y14" s="42"/>
      <c r="Z14" s="42"/>
      <c r="AA14" s="42"/>
    </row>
    <row r="15" spans="1:28" x14ac:dyDescent="0.3">
      <c r="A15" s="51" t="str">
        <f>IF(ISNA(VLOOKUP(B15,Shortlist_xref!$A$5:$B$77,2,FALSE))=TRUE,"-",VLOOKUP(B15,Shortlist_xref!$A$5:$B$77,2,FALSE))</f>
        <v>-</v>
      </c>
      <c r="B15" s="3" t="s">
        <v>941</v>
      </c>
      <c r="C15" s="5" t="s">
        <v>942</v>
      </c>
      <c r="D15" s="5" t="s">
        <v>940</v>
      </c>
      <c r="E15" s="5" t="s">
        <v>12</v>
      </c>
      <c r="F15" s="31">
        <v>0.1</v>
      </c>
      <c r="G15" s="32">
        <v>0.36</v>
      </c>
      <c r="H15" s="33">
        <v>1894</v>
      </c>
      <c r="I15" s="34">
        <v>8.6381663470173409E-4</v>
      </c>
      <c r="J15" s="9">
        <v>33.344645860979135</v>
      </c>
      <c r="K15" s="35"/>
      <c r="L15" s="35" t="s">
        <v>613</v>
      </c>
      <c r="M15" s="195" t="s">
        <v>614</v>
      </c>
      <c r="N15" s="195" t="s">
        <v>381</v>
      </c>
      <c r="O15" s="195" t="s">
        <v>381</v>
      </c>
      <c r="P15" s="195" t="s">
        <v>381</v>
      </c>
      <c r="Q15" s="173" t="s">
        <v>1171</v>
      </c>
      <c r="R15" s="173" t="s">
        <v>1171</v>
      </c>
      <c r="S15" s="173" t="s">
        <v>1171</v>
      </c>
      <c r="T15" s="173" t="s">
        <v>1171</v>
      </c>
      <c r="U15" s="173" t="s">
        <v>1172</v>
      </c>
      <c r="V15" s="151" t="b">
        <v>1</v>
      </c>
      <c r="W15" s="188" t="str">
        <f t="shared" si="0"/>
        <v>NP - 10NOx</v>
      </c>
      <c r="X15" s="190">
        <f t="shared" si="1"/>
        <v>1894</v>
      </c>
      <c r="Y15" s="42"/>
      <c r="Z15" s="42"/>
      <c r="AA15" s="42"/>
    </row>
    <row r="16" spans="1:28" ht="32.85" x14ac:dyDescent="0.3">
      <c r="A16" s="51" t="str">
        <f>IF(ISNA(VLOOKUP(B16,Shortlist_xref!$A$5:$B$77,2,FALSE))=TRUE,"-",VLOOKUP(B16,Shortlist_xref!$A$5:$B$77,2,FALSE))</f>
        <v>-</v>
      </c>
      <c r="B16" s="3" t="s">
        <v>943</v>
      </c>
      <c r="C16" s="5" t="s">
        <v>473</v>
      </c>
      <c r="D16" s="5" t="s">
        <v>944</v>
      </c>
      <c r="E16" s="5" t="s">
        <v>12</v>
      </c>
      <c r="F16" s="31">
        <v>0.1</v>
      </c>
      <c r="G16" s="32">
        <v>0.75</v>
      </c>
      <c r="H16" s="33" t="s">
        <v>945</v>
      </c>
      <c r="I16" s="34">
        <v>2.5211772839559667E-3</v>
      </c>
      <c r="J16" s="9">
        <v>202.75272240716095</v>
      </c>
      <c r="K16" s="35" t="s">
        <v>946</v>
      </c>
      <c r="L16" s="35" t="s">
        <v>613</v>
      </c>
      <c r="M16" s="195" t="s">
        <v>614</v>
      </c>
      <c r="N16" s="195" t="s">
        <v>381</v>
      </c>
      <c r="O16" s="195" t="s">
        <v>381</v>
      </c>
      <c r="P16" s="195" t="s">
        <v>381</v>
      </c>
      <c r="Q16" s="173" t="s">
        <v>1171</v>
      </c>
      <c r="R16" s="173" t="s">
        <v>1171</v>
      </c>
      <c r="S16" s="173" t="s">
        <v>1171</v>
      </c>
      <c r="T16" s="173" t="s">
        <v>1171</v>
      </c>
      <c r="U16" s="173" t="s">
        <v>1172</v>
      </c>
      <c r="V16" s="151" t="b">
        <v>1</v>
      </c>
      <c r="W16" s="188" t="str">
        <f t="shared" si="0"/>
        <v>NP - 11NOx</v>
      </c>
      <c r="X16" s="190" t="str">
        <f t="shared" si="1"/>
        <v>$3,691 for NOx&lt;1 tpd and $1,990 for NOx&gt;1 tpd</v>
      </c>
      <c r="Y16" s="42"/>
      <c r="Z16" s="42"/>
      <c r="AA16" s="42"/>
    </row>
    <row r="17" spans="1:27" x14ac:dyDescent="0.3">
      <c r="A17" s="51" t="str">
        <f>IF(ISNA(VLOOKUP(B17,Shortlist_xref!$A$5:$B$77,2,FALSE))=TRUE,"-",VLOOKUP(B17,Shortlist_xref!$A$5:$B$77,2,FALSE))</f>
        <v>-</v>
      </c>
      <c r="B17" s="3" t="s">
        <v>947</v>
      </c>
      <c r="C17" s="5" t="s">
        <v>948</v>
      </c>
      <c r="D17" s="5" t="s">
        <v>949</v>
      </c>
      <c r="E17" s="5" t="s">
        <v>53</v>
      </c>
      <c r="F17" s="31">
        <v>0.1</v>
      </c>
      <c r="G17" s="32">
        <v>0.39900000000000002</v>
      </c>
      <c r="H17" s="33">
        <v>2359</v>
      </c>
      <c r="I17" s="34">
        <v>1.4343974530116063E-3</v>
      </c>
      <c r="J17" s="9">
        <v>86.340919358399987</v>
      </c>
      <c r="K17" s="35"/>
      <c r="L17" s="35" t="s">
        <v>613</v>
      </c>
      <c r="M17" s="195" t="s">
        <v>614</v>
      </c>
      <c r="N17" s="195" t="s">
        <v>381</v>
      </c>
      <c r="O17" s="195" t="s">
        <v>381</v>
      </c>
      <c r="P17" s="195" t="s">
        <v>381</v>
      </c>
      <c r="Q17" s="173" t="s">
        <v>1171</v>
      </c>
      <c r="R17" s="173" t="s">
        <v>1171</v>
      </c>
      <c r="S17" s="173" t="s">
        <v>1171</v>
      </c>
      <c r="T17" s="173" t="s">
        <v>1171</v>
      </c>
      <c r="U17" s="173" t="s">
        <v>1172</v>
      </c>
      <c r="V17" s="151" t="b">
        <v>1</v>
      </c>
      <c r="W17" s="188" t="str">
        <f t="shared" si="0"/>
        <v>NP - 12VOC</v>
      </c>
      <c r="X17" s="190">
        <f t="shared" si="1"/>
        <v>2359</v>
      </c>
      <c r="Y17" s="42"/>
      <c r="Z17" s="42"/>
      <c r="AA17" s="42"/>
    </row>
    <row r="18" spans="1:27" x14ac:dyDescent="0.3">
      <c r="A18" s="119" t="s">
        <v>92</v>
      </c>
      <c r="B18" s="26"/>
      <c r="C18" s="26"/>
      <c r="D18" s="26"/>
      <c r="E18" s="26"/>
      <c r="F18" s="27"/>
      <c r="G18" s="28"/>
      <c r="H18" s="37"/>
      <c r="I18" s="29"/>
      <c r="J18" s="28"/>
      <c r="K18" s="38"/>
      <c r="L18" s="38"/>
      <c r="M18" s="196"/>
      <c r="N18" s="196"/>
      <c r="O18" s="196"/>
      <c r="P18" s="196"/>
      <c r="V18" s="151" t="b">
        <v>1</v>
      </c>
      <c r="W18" s="188" t="str">
        <f t="shared" si="0"/>
        <v/>
      </c>
      <c r="X18" s="190">
        <f t="shared" si="1"/>
        <v>0</v>
      </c>
    </row>
    <row r="19" spans="1:27" ht="32.85" x14ac:dyDescent="0.3">
      <c r="A19" s="51" t="str">
        <f>IF(ISNA(VLOOKUP(B19,Shortlist_xref!$A$5:$B$77,2,FALSE))=TRUE,"-",VLOOKUP(B19,Shortlist_xref!$A$5:$B$77,2,FALSE))</f>
        <v>C-E</v>
      </c>
      <c r="B19" s="3" t="s">
        <v>93</v>
      </c>
      <c r="C19" s="5" t="s">
        <v>94</v>
      </c>
      <c r="D19" s="5" t="s">
        <v>95</v>
      </c>
      <c r="E19" s="5" t="s">
        <v>12</v>
      </c>
      <c r="F19" s="31">
        <v>0.1</v>
      </c>
      <c r="G19" s="32">
        <v>1</v>
      </c>
      <c r="H19" s="33">
        <v>0</v>
      </c>
      <c r="I19" s="34">
        <v>7.9355539262028676E-3</v>
      </c>
      <c r="J19" s="9">
        <v>850.90150678700002</v>
      </c>
      <c r="K19" s="130" t="s">
        <v>950</v>
      </c>
      <c r="L19" s="35" t="s">
        <v>613</v>
      </c>
      <c r="M19" s="195" t="s">
        <v>614</v>
      </c>
      <c r="N19" s="195" t="s">
        <v>951</v>
      </c>
      <c r="O19" s="195" t="s">
        <v>952</v>
      </c>
      <c r="P19" s="195" t="s">
        <v>381</v>
      </c>
      <c r="Q19" s="173" t="s">
        <v>1171</v>
      </c>
      <c r="R19" s="173" t="s">
        <v>1171</v>
      </c>
      <c r="S19" s="173" t="s">
        <v>1171</v>
      </c>
      <c r="T19" s="173" t="s">
        <v>1171</v>
      </c>
      <c r="U19" s="173" t="s">
        <v>1172</v>
      </c>
      <c r="V19" s="151" t="b">
        <v>1</v>
      </c>
      <c r="W19" s="188" t="str">
        <f t="shared" si="0"/>
        <v>NP - 13NOx</v>
      </c>
      <c r="X19" s="190">
        <f t="shared" si="1"/>
        <v>0</v>
      </c>
      <c r="Y19" s="42"/>
      <c r="Z19" s="42"/>
      <c r="AA19" s="42"/>
    </row>
    <row r="20" spans="1:27" ht="32.85" x14ac:dyDescent="0.3">
      <c r="A20" s="51" t="str">
        <f>IF(ISNA(VLOOKUP(B20,Shortlist_xref!$A$5:$B$77,2,FALSE))=TRUE,"-",VLOOKUP(B20,Shortlist_xref!$A$5:$B$77,2,FALSE))</f>
        <v>C-E</v>
      </c>
      <c r="B20" s="3" t="s">
        <v>93</v>
      </c>
      <c r="C20" s="5" t="s">
        <v>94</v>
      </c>
      <c r="D20" s="5" t="s">
        <v>95</v>
      </c>
      <c r="E20" s="5" t="s">
        <v>53</v>
      </c>
      <c r="F20" s="31">
        <v>0.1</v>
      </c>
      <c r="G20" s="32">
        <v>1</v>
      </c>
      <c r="H20" s="33">
        <v>0</v>
      </c>
      <c r="I20" s="34">
        <v>1.0386347172294294E-2</v>
      </c>
      <c r="J20" s="9">
        <v>1566.8849269990001</v>
      </c>
      <c r="K20" s="130" t="s">
        <v>950</v>
      </c>
      <c r="L20" s="35" t="s">
        <v>613</v>
      </c>
      <c r="M20" s="195" t="s">
        <v>614</v>
      </c>
      <c r="N20" s="195" t="s">
        <v>951</v>
      </c>
      <c r="O20" s="195" t="s">
        <v>952</v>
      </c>
      <c r="P20" s="195" t="s">
        <v>381</v>
      </c>
      <c r="Q20" s="173" t="s">
        <v>1171</v>
      </c>
      <c r="R20" s="173" t="s">
        <v>1172</v>
      </c>
      <c r="S20" s="173" t="s">
        <v>1172</v>
      </c>
      <c r="T20" s="173" t="s">
        <v>1172</v>
      </c>
      <c r="U20" s="173" t="s">
        <v>1172</v>
      </c>
      <c r="V20" s="151" t="b">
        <v>1</v>
      </c>
      <c r="W20" s="188" t="str">
        <f t="shared" si="0"/>
        <v>NP - 13VOC</v>
      </c>
      <c r="X20" s="190">
        <f t="shared" si="1"/>
        <v>0</v>
      </c>
      <c r="Y20" s="42"/>
      <c r="Z20" s="42"/>
      <c r="AA20" s="42"/>
    </row>
    <row r="21" spans="1:27" ht="32.85" x14ac:dyDescent="0.3">
      <c r="A21" s="51" t="str">
        <f>IF(ISNA(VLOOKUP(B21,Shortlist_xref!$A$5:$B$77,2,FALSE))=TRUE,"-",VLOOKUP(B21,Shortlist_xref!$A$5:$B$77,2,FALSE))</f>
        <v>-</v>
      </c>
      <c r="B21" s="3" t="s">
        <v>953</v>
      </c>
      <c r="C21" s="5" t="s">
        <v>94</v>
      </c>
      <c r="D21" s="5" t="s">
        <v>954</v>
      </c>
      <c r="E21" s="5" t="s">
        <v>12</v>
      </c>
      <c r="F21" s="31" t="s">
        <v>37</v>
      </c>
      <c r="G21" s="32" t="s">
        <v>37</v>
      </c>
      <c r="H21" s="33" t="s">
        <v>37</v>
      </c>
      <c r="I21" s="34">
        <v>7.9355539262028676E-3</v>
      </c>
      <c r="J21" s="9" t="s">
        <v>37</v>
      </c>
      <c r="K21" s="130" t="s">
        <v>950</v>
      </c>
      <c r="L21" s="35" t="s">
        <v>566</v>
      </c>
      <c r="M21" s="195" t="s">
        <v>955</v>
      </c>
      <c r="N21" s="195" t="s">
        <v>381</v>
      </c>
      <c r="O21" s="195" t="s">
        <v>381</v>
      </c>
      <c r="P21" s="195" t="s">
        <v>381</v>
      </c>
      <c r="Q21" s="173" t="s">
        <v>1171</v>
      </c>
      <c r="R21" s="173" t="s">
        <v>1171</v>
      </c>
      <c r="S21" s="173" t="s">
        <v>1171</v>
      </c>
      <c r="T21" s="173" t="s">
        <v>1171</v>
      </c>
      <c r="U21" s="173" t="s">
        <v>1172</v>
      </c>
      <c r="V21" s="151" t="b">
        <v>1</v>
      </c>
      <c r="W21" s="188" t="str">
        <f t="shared" si="0"/>
        <v>NP - 14NOx</v>
      </c>
      <c r="X21" s="190" t="str">
        <f t="shared" si="1"/>
        <v>NA</v>
      </c>
      <c r="Y21" s="42"/>
      <c r="Z21" s="42"/>
      <c r="AA21" s="42"/>
    </row>
    <row r="22" spans="1:27" ht="32.85" x14ac:dyDescent="0.3">
      <c r="A22" s="51" t="str">
        <f>IF(ISNA(VLOOKUP(B22,Shortlist_xref!$A$5:$B$77,2,FALSE))=TRUE,"-",VLOOKUP(B22,Shortlist_xref!$A$5:$B$77,2,FALSE))</f>
        <v>-</v>
      </c>
      <c r="B22" s="3" t="s">
        <v>953</v>
      </c>
      <c r="C22" s="5" t="s">
        <v>94</v>
      </c>
      <c r="D22" s="5" t="s">
        <v>954</v>
      </c>
      <c r="E22" s="5" t="s">
        <v>53</v>
      </c>
      <c r="F22" s="31" t="s">
        <v>37</v>
      </c>
      <c r="G22" s="32" t="s">
        <v>37</v>
      </c>
      <c r="H22" s="33" t="s">
        <v>37</v>
      </c>
      <c r="I22" s="34">
        <v>1.0386347172294294E-2</v>
      </c>
      <c r="J22" s="9" t="s">
        <v>37</v>
      </c>
      <c r="K22" s="130" t="s">
        <v>950</v>
      </c>
      <c r="L22" s="35" t="s">
        <v>566</v>
      </c>
      <c r="M22" s="195" t="s">
        <v>955</v>
      </c>
      <c r="N22" s="195" t="s">
        <v>381</v>
      </c>
      <c r="O22" s="195" t="s">
        <v>381</v>
      </c>
      <c r="P22" s="195" t="s">
        <v>381</v>
      </c>
      <c r="Q22" s="173" t="s">
        <v>1171</v>
      </c>
      <c r="R22" s="173" t="s">
        <v>1171</v>
      </c>
      <c r="S22" s="173" t="s">
        <v>1171</v>
      </c>
      <c r="T22" s="173" t="s">
        <v>1171</v>
      </c>
      <c r="U22" s="173" t="s">
        <v>1172</v>
      </c>
      <c r="V22" s="151" t="b">
        <v>1</v>
      </c>
      <c r="W22" s="188" t="str">
        <f t="shared" si="0"/>
        <v>NP - 14VOC</v>
      </c>
      <c r="X22" s="190" t="str">
        <f t="shared" si="1"/>
        <v>NA</v>
      </c>
      <c r="Y22" s="42"/>
      <c r="Z22" s="42"/>
      <c r="AA22" s="42"/>
    </row>
    <row r="23" spans="1:27" ht="32.85" x14ac:dyDescent="0.3">
      <c r="A23" s="51" t="str">
        <f>IF(ISNA(VLOOKUP(B23,Shortlist_xref!$A$5:$B$77,2,FALSE))=TRUE,"-",VLOOKUP(B23,Shortlist_xref!$A$5:$B$77,2,FALSE))</f>
        <v>-</v>
      </c>
      <c r="B23" s="3" t="s">
        <v>956</v>
      </c>
      <c r="C23" s="5" t="s">
        <v>94</v>
      </c>
      <c r="D23" s="5" t="s">
        <v>957</v>
      </c>
      <c r="E23" s="5" t="s">
        <v>12</v>
      </c>
      <c r="F23" s="31">
        <v>0.1</v>
      </c>
      <c r="G23" s="32">
        <v>4.4999999999999998E-2</v>
      </c>
      <c r="H23" s="33" t="s">
        <v>37</v>
      </c>
      <c r="I23" s="34">
        <v>7.9355539262028676E-3</v>
      </c>
      <c r="J23" s="9">
        <v>38.290567805415002</v>
      </c>
      <c r="K23" s="130" t="s">
        <v>950</v>
      </c>
      <c r="L23" s="35" t="s">
        <v>929</v>
      </c>
      <c r="M23" s="195" t="s">
        <v>958</v>
      </c>
      <c r="N23" s="195" t="s">
        <v>381</v>
      </c>
      <c r="O23" s="195" t="s">
        <v>381</v>
      </c>
      <c r="P23" s="195" t="s">
        <v>381</v>
      </c>
      <c r="Q23" s="173" t="s">
        <v>1171</v>
      </c>
      <c r="R23" s="173" t="s">
        <v>1172</v>
      </c>
      <c r="S23" s="173" t="s">
        <v>1172</v>
      </c>
      <c r="T23" s="173" t="s">
        <v>1171</v>
      </c>
      <c r="U23" s="173" t="s">
        <v>1172</v>
      </c>
      <c r="V23" s="151" t="b">
        <v>1</v>
      </c>
      <c r="W23" s="188" t="str">
        <f t="shared" si="0"/>
        <v>NP - 15NOx</v>
      </c>
      <c r="X23" s="190" t="str">
        <f t="shared" si="1"/>
        <v>NA</v>
      </c>
      <c r="Y23" s="42"/>
      <c r="Z23" s="42"/>
      <c r="AA23" s="42"/>
    </row>
    <row r="24" spans="1:27" ht="32.85" x14ac:dyDescent="0.3">
      <c r="A24" s="51" t="str">
        <f>IF(ISNA(VLOOKUP(B24,Shortlist_xref!$A$5:$B$77,2,FALSE))=TRUE,"-",VLOOKUP(B24,Shortlist_xref!$A$5:$B$77,2,FALSE))</f>
        <v>-</v>
      </c>
      <c r="B24" s="3" t="s">
        <v>956</v>
      </c>
      <c r="C24" s="5" t="s">
        <v>94</v>
      </c>
      <c r="D24" s="5" t="s">
        <v>957</v>
      </c>
      <c r="E24" s="5" t="s">
        <v>53</v>
      </c>
      <c r="F24" s="31" t="s">
        <v>37</v>
      </c>
      <c r="G24" s="32" t="s">
        <v>37</v>
      </c>
      <c r="H24" s="33" t="s">
        <v>37</v>
      </c>
      <c r="I24" s="34">
        <v>1.0386347172294294E-2</v>
      </c>
      <c r="J24" s="9" t="s">
        <v>37</v>
      </c>
      <c r="K24" s="130" t="s">
        <v>950</v>
      </c>
      <c r="L24" s="35" t="s">
        <v>929</v>
      </c>
      <c r="M24" s="195" t="s">
        <v>958</v>
      </c>
      <c r="N24" s="195" t="s">
        <v>381</v>
      </c>
      <c r="O24" s="195" t="s">
        <v>381</v>
      </c>
      <c r="P24" s="195" t="s">
        <v>381</v>
      </c>
      <c r="Q24" s="173" t="s">
        <v>1171</v>
      </c>
      <c r="R24" s="173" t="s">
        <v>1171</v>
      </c>
      <c r="S24" s="173" t="s">
        <v>1171</v>
      </c>
      <c r="T24" s="173" t="s">
        <v>1171</v>
      </c>
      <c r="U24" s="173" t="s">
        <v>1172</v>
      </c>
      <c r="V24" s="151" t="b">
        <v>1</v>
      </c>
      <c r="W24" s="188" t="str">
        <f t="shared" si="0"/>
        <v>NP - 15VOC</v>
      </c>
      <c r="X24" s="190" t="str">
        <f t="shared" si="1"/>
        <v>NA</v>
      </c>
      <c r="Y24" s="42"/>
      <c r="Z24" s="42"/>
      <c r="AA24" s="42"/>
    </row>
    <row r="25" spans="1:27" ht="32.15" customHeight="1" x14ac:dyDescent="0.3">
      <c r="A25" s="51" t="str">
        <f>IF(ISNA(VLOOKUP(B25,Shortlist_xref!$A$5:$B$77,2,FALSE))=TRUE,"-",VLOOKUP(B25,Shortlist_xref!$A$5:$B$77,2,FALSE))</f>
        <v>-</v>
      </c>
      <c r="B25" s="3" t="s">
        <v>959</v>
      </c>
      <c r="C25" s="5" t="s">
        <v>94</v>
      </c>
      <c r="D25" s="5" t="s">
        <v>960</v>
      </c>
      <c r="E25" s="5" t="s">
        <v>12</v>
      </c>
      <c r="F25" s="31" t="s">
        <v>37</v>
      </c>
      <c r="G25" s="32" t="s">
        <v>37</v>
      </c>
      <c r="H25" s="33" t="s">
        <v>37</v>
      </c>
      <c r="I25" s="34">
        <v>7.8595790394167461E-3</v>
      </c>
      <c r="J25" s="9" t="s">
        <v>37</v>
      </c>
      <c r="K25" s="35"/>
      <c r="L25" s="35" t="s">
        <v>961</v>
      </c>
      <c r="M25" s="195" t="s">
        <v>962</v>
      </c>
      <c r="N25" s="195" t="s">
        <v>963</v>
      </c>
      <c r="O25" s="195" t="s">
        <v>381</v>
      </c>
      <c r="P25" s="195" t="s">
        <v>381</v>
      </c>
      <c r="Q25" s="173" t="s">
        <v>1171</v>
      </c>
      <c r="R25" s="173" t="s">
        <v>1171</v>
      </c>
      <c r="S25" s="173" t="s">
        <v>1171</v>
      </c>
      <c r="T25" s="173" t="s">
        <v>1171</v>
      </c>
      <c r="U25" s="173" t="s">
        <v>1172</v>
      </c>
      <c r="V25" s="151" t="b">
        <v>1</v>
      </c>
      <c r="W25" s="188" t="str">
        <f t="shared" si="0"/>
        <v>NP - 16NOx</v>
      </c>
      <c r="X25" s="190" t="str">
        <f t="shared" si="1"/>
        <v>NA</v>
      </c>
      <c r="Y25" s="42"/>
      <c r="Z25" s="42"/>
      <c r="AA25" s="42"/>
    </row>
    <row r="26" spans="1:27" x14ac:dyDescent="0.3">
      <c r="A26" s="51" t="str">
        <f>IF(ISNA(VLOOKUP(B26,Shortlist_xref!$A$5:$B$77,2,FALSE))=TRUE,"-",VLOOKUP(B26,Shortlist_xref!$A$5:$B$77,2,FALSE))</f>
        <v>-</v>
      </c>
      <c r="B26" s="3" t="s">
        <v>959</v>
      </c>
      <c r="C26" s="5" t="s">
        <v>94</v>
      </c>
      <c r="D26" s="5" t="s">
        <v>960</v>
      </c>
      <c r="E26" s="5" t="s">
        <v>53</v>
      </c>
      <c r="F26" s="31" t="s">
        <v>37</v>
      </c>
      <c r="G26" s="32" t="s">
        <v>37</v>
      </c>
      <c r="H26" s="33" t="s">
        <v>37</v>
      </c>
      <c r="I26" s="34">
        <v>1.0273627562736745E-2</v>
      </c>
      <c r="J26" s="9" t="s">
        <v>37</v>
      </c>
      <c r="K26" s="35"/>
      <c r="L26" s="35" t="s">
        <v>961</v>
      </c>
      <c r="M26" s="195" t="s">
        <v>962</v>
      </c>
      <c r="N26" s="195" t="s">
        <v>963</v>
      </c>
      <c r="O26" s="195" t="s">
        <v>381</v>
      </c>
      <c r="P26" s="195" t="s">
        <v>381</v>
      </c>
      <c r="Q26" s="173" t="s">
        <v>1171</v>
      </c>
      <c r="R26" s="173" t="s">
        <v>1171</v>
      </c>
      <c r="S26" s="173" t="s">
        <v>1171</v>
      </c>
      <c r="T26" s="173" t="s">
        <v>1171</v>
      </c>
      <c r="U26" s="173" t="s">
        <v>1172</v>
      </c>
      <c r="V26" s="151" t="b">
        <v>1</v>
      </c>
      <c r="W26" s="188" t="str">
        <f t="shared" si="0"/>
        <v>NP - 16VOC</v>
      </c>
      <c r="X26" s="190" t="str">
        <f t="shared" si="1"/>
        <v>NA</v>
      </c>
      <c r="Y26" s="42"/>
      <c r="Z26" s="42"/>
      <c r="AA26" s="42"/>
    </row>
    <row r="27" spans="1:27" ht="32.85" x14ac:dyDescent="0.3">
      <c r="A27" s="51" t="str">
        <f>IF(ISNA(VLOOKUP(B27,Shortlist_xref!$A$5:$B$77,2,FALSE))=TRUE,"-",VLOOKUP(B27,Shortlist_xref!$A$5:$B$77,2,FALSE))</f>
        <v>-</v>
      </c>
      <c r="B27" s="3" t="s">
        <v>964</v>
      </c>
      <c r="C27" s="5" t="s">
        <v>94</v>
      </c>
      <c r="D27" s="5" t="s">
        <v>965</v>
      </c>
      <c r="E27" s="5" t="s">
        <v>12</v>
      </c>
      <c r="F27" s="31" t="s">
        <v>37</v>
      </c>
      <c r="G27" s="32" t="s">
        <v>37</v>
      </c>
      <c r="H27" s="33" t="s">
        <v>37</v>
      </c>
      <c r="I27" s="34">
        <v>7.9355539262028676E-3</v>
      </c>
      <c r="J27" s="9" t="s">
        <v>37</v>
      </c>
      <c r="K27" s="130" t="s">
        <v>950</v>
      </c>
      <c r="L27" s="35" t="s">
        <v>566</v>
      </c>
      <c r="M27" s="195" t="s">
        <v>966</v>
      </c>
      <c r="N27" s="195" t="s">
        <v>381</v>
      </c>
      <c r="O27" s="195" t="s">
        <v>381</v>
      </c>
      <c r="P27" s="195" t="s">
        <v>381</v>
      </c>
      <c r="Q27" s="173" t="s">
        <v>1171</v>
      </c>
      <c r="R27" s="173" t="s">
        <v>1171</v>
      </c>
      <c r="S27" s="173" t="s">
        <v>1171</v>
      </c>
      <c r="T27" s="173" t="s">
        <v>1171</v>
      </c>
      <c r="U27" s="173" t="s">
        <v>1172</v>
      </c>
      <c r="V27" s="151" t="b">
        <v>1</v>
      </c>
      <c r="W27" s="188" t="str">
        <f t="shared" si="0"/>
        <v>NP - 17NOx</v>
      </c>
      <c r="X27" s="190" t="str">
        <f t="shared" si="1"/>
        <v>NA</v>
      </c>
      <c r="Y27" s="42"/>
      <c r="Z27" s="42"/>
      <c r="AA27" s="42"/>
    </row>
    <row r="28" spans="1:27" ht="32.85" x14ac:dyDescent="0.3">
      <c r="A28" s="51" t="str">
        <f>IF(ISNA(VLOOKUP(B28,Shortlist_xref!$A$5:$B$77,2,FALSE))=TRUE,"-",VLOOKUP(B28,Shortlist_xref!$A$5:$B$77,2,FALSE))</f>
        <v>-</v>
      </c>
      <c r="B28" s="3" t="s">
        <v>964</v>
      </c>
      <c r="C28" s="5" t="s">
        <v>94</v>
      </c>
      <c r="D28" s="5" t="s">
        <v>965</v>
      </c>
      <c r="E28" s="5" t="s">
        <v>53</v>
      </c>
      <c r="F28" s="31" t="s">
        <v>37</v>
      </c>
      <c r="G28" s="32" t="s">
        <v>37</v>
      </c>
      <c r="H28" s="33" t="s">
        <v>37</v>
      </c>
      <c r="I28" s="34">
        <v>1.0386347172294294E-2</v>
      </c>
      <c r="J28" s="9" t="s">
        <v>37</v>
      </c>
      <c r="K28" s="130" t="s">
        <v>950</v>
      </c>
      <c r="L28" s="35" t="s">
        <v>566</v>
      </c>
      <c r="M28" s="195" t="s">
        <v>966</v>
      </c>
      <c r="N28" s="195" t="s">
        <v>381</v>
      </c>
      <c r="O28" s="195" t="s">
        <v>381</v>
      </c>
      <c r="P28" s="195" t="s">
        <v>381</v>
      </c>
      <c r="Q28" s="173" t="s">
        <v>1171</v>
      </c>
      <c r="R28" s="173" t="s">
        <v>1171</v>
      </c>
      <c r="S28" s="173" t="s">
        <v>1171</v>
      </c>
      <c r="T28" s="173" t="s">
        <v>1171</v>
      </c>
      <c r="U28" s="173" t="s">
        <v>1172</v>
      </c>
      <c r="V28" s="151" t="b">
        <v>1</v>
      </c>
      <c r="W28" s="188" t="str">
        <f t="shared" si="0"/>
        <v>NP - 17VOC</v>
      </c>
      <c r="X28" s="190" t="str">
        <f t="shared" si="1"/>
        <v>NA</v>
      </c>
      <c r="Y28" s="42"/>
      <c r="Z28" s="42"/>
      <c r="AA28" s="42"/>
    </row>
    <row r="29" spans="1:27" ht="21.6" customHeight="1" x14ac:dyDescent="0.3">
      <c r="A29" s="119" t="s">
        <v>96</v>
      </c>
      <c r="B29" s="26"/>
      <c r="C29" s="26"/>
      <c r="D29" s="26"/>
      <c r="E29" s="26"/>
      <c r="F29" s="27"/>
      <c r="G29" s="28"/>
      <c r="H29" s="37"/>
      <c r="I29" s="29"/>
      <c r="J29" s="28"/>
      <c r="K29" s="38"/>
      <c r="L29" s="38"/>
      <c r="M29" s="196"/>
      <c r="N29" s="196"/>
      <c r="O29" s="196"/>
      <c r="P29" s="196"/>
      <c r="V29" s="151" t="b">
        <v>1</v>
      </c>
      <c r="W29" s="188" t="str">
        <f t="shared" si="0"/>
        <v/>
      </c>
      <c r="X29" s="190">
        <f t="shared" si="1"/>
        <v>0</v>
      </c>
    </row>
    <row r="30" spans="1:27" ht="24.65" customHeight="1" x14ac:dyDescent="0.3">
      <c r="A30" s="51" t="str">
        <f>IF(ISNA(VLOOKUP(B30,Shortlist_xref!$A$5:$B$77,2,FALSE))=TRUE,"-",VLOOKUP(B30,Shortlist_xref!$A$5:$B$77,2,FALSE))</f>
        <v>-</v>
      </c>
      <c r="B30" s="3" t="s">
        <v>967</v>
      </c>
      <c r="C30" s="5" t="s">
        <v>968</v>
      </c>
      <c r="D30" s="5" t="s">
        <v>329</v>
      </c>
      <c r="E30" s="5" t="s">
        <v>53</v>
      </c>
      <c r="F30" s="31">
        <v>0.1</v>
      </c>
      <c r="G30" s="32">
        <v>0.4</v>
      </c>
      <c r="H30" s="33" t="s">
        <v>969</v>
      </c>
      <c r="I30" s="34">
        <v>4.2875348686467245E-2</v>
      </c>
      <c r="J30" s="9">
        <v>2587.2710196268936</v>
      </c>
      <c r="K30" s="35" t="s">
        <v>970</v>
      </c>
      <c r="L30" s="35" t="s">
        <v>566</v>
      </c>
      <c r="M30" s="195" t="s">
        <v>971</v>
      </c>
      <c r="N30" s="195" t="s">
        <v>381</v>
      </c>
      <c r="O30" s="195" t="s">
        <v>381</v>
      </c>
      <c r="P30" s="195" t="s">
        <v>381</v>
      </c>
      <c r="Q30" s="173" t="s">
        <v>1171</v>
      </c>
      <c r="R30" s="173" t="s">
        <v>1172</v>
      </c>
      <c r="S30" s="173" t="s">
        <v>1172</v>
      </c>
      <c r="T30" s="173" t="s">
        <v>1172</v>
      </c>
      <c r="U30" s="173" t="s">
        <v>1171</v>
      </c>
      <c r="V30" s="151" t="b">
        <v>1</v>
      </c>
      <c r="W30" s="188" t="str">
        <f t="shared" si="0"/>
        <v>NP - 18VOC</v>
      </c>
      <c r="X30" s="190" t="str">
        <f t="shared" si="1"/>
        <v>$8,000-$12,000</v>
      </c>
      <c r="Y30" s="42"/>
      <c r="Z30" s="42"/>
      <c r="AA30" s="42"/>
    </row>
    <row r="31" spans="1:27" ht="24.65" customHeight="1" x14ac:dyDescent="0.3">
      <c r="A31" s="51" t="str">
        <f>IF(ISNA(VLOOKUP(B31,Shortlist_xref!$A$5:$B$77,2,FALSE))=TRUE,"-",VLOOKUP(B31,Shortlist_xref!$A$5:$B$77,2,FALSE))</f>
        <v>EmissRed</v>
      </c>
      <c r="B31" s="3" t="s">
        <v>309</v>
      </c>
      <c r="C31" s="5" t="s">
        <v>328</v>
      </c>
      <c r="D31" s="5" t="s">
        <v>329</v>
      </c>
      <c r="E31" s="5" t="s">
        <v>53</v>
      </c>
      <c r="F31" s="31">
        <v>0.1</v>
      </c>
      <c r="G31" s="32">
        <v>0.75</v>
      </c>
      <c r="H31" s="33">
        <v>6000</v>
      </c>
      <c r="I31" s="34">
        <v>4.9876557715544799E-2</v>
      </c>
      <c r="J31" s="9">
        <v>5643.2852569826791</v>
      </c>
      <c r="K31" s="35"/>
      <c r="L31" s="35" t="s">
        <v>566</v>
      </c>
      <c r="M31" s="195" t="s">
        <v>972</v>
      </c>
      <c r="N31" s="195" t="s">
        <v>381</v>
      </c>
      <c r="O31" s="195" t="s">
        <v>381</v>
      </c>
      <c r="P31" s="195" t="s">
        <v>381</v>
      </c>
      <c r="Q31" s="173" t="s">
        <v>1171</v>
      </c>
      <c r="R31" s="173" t="s">
        <v>1172</v>
      </c>
      <c r="S31" s="173" t="s">
        <v>1172</v>
      </c>
      <c r="T31" s="173" t="s">
        <v>1172</v>
      </c>
      <c r="U31" s="173" t="s">
        <v>1171</v>
      </c>
      <c r="V31" s="151" t="b">
        <v>1</v>
      </c>
      <c r="W31" s="188" t="str">
        <f t="shared" si="0"/>
        <v>NP - 19VOC</v>
      </c>
      <c r="X31" s="190">
        <f t="shared" si="1"/>
        <v>6000</v>
      </c>
      <c r="Y31" s="42"/>
      <c r="Z31" s="42"/>
      <c r="AA31" s="42"/>
    </row>
    <row r="32" spans="1:27" ht="24.65" customHeight="1" x14ac:dyDescent="0.3">
      <c r="A32" s="51" t="str">
        <f>IF(ISNA(VLOOKUP(B32,Shortlist_xref!$A$5:$B$77,2,FALSE))=TRUE,"-",VLOOKUP(B32,Shortlist_xref!$A$5:$B$77,2,FALSE))</f>
        <v>-</v>
      </c>
      <c r="B32" s="3" t="s">
        <v>973</v>
      </c>
      <c r="C32" s="5" t="s">
        <v>974</v>
      </c>
      <c r="D32" s="5" t="s">
        <v>97</v>
      </c>
      <c r="E32" s="5" t="s">
        <v>53</v>
      </c>
      <c r="F32" s="31">
        <v>0.1</v>
      </c>
      <c r="G32" s="32">
        <v>0.65</v>
      </c>
      <c r="H32" s="33" t="s">
        <v>969</v>
      </c>
      <c r="I32" s="34">
        <v>2.5680042313342828E-2</v>
      </c>
      <c r="J32" s="9">
        <v>2518.1602215575003</v>
      </c>
      <c r="K32" s="35" t="s">
        <v>970</v>
      </c>
      <c r="L32" s="35" t="s">
        <v>566</v>
      </c>
      <c r="M32" s="195" t="s">
        <v>975</v>
      </c>
      <c r="N32" s="195" t="s">
        <v>381</v>
      </c>
      <c r="O32" s="195" t="s">
        <v>381</v>
      </c>
      <c r="P32" s="195" t="s">
        <v>381</v>
      </c>
      <c r="Q32" s="173" t="s">
        <v>1171</v>
      </c>
      <c r="R32" s="173" t="s">
        <v>1172</v>
      </c>
      <c r="S32" s="173" t="s">
        <v>1172</v>
      </c>
      <c r="T32" s="173" t="s">
        <v>1172</v>
      </c>
      <c r="U32" s="173" t="s">
        <v>1172</v>
      </c>
      <c r="V32" s="151" t="b">
        <v>1</v>
      </c>
      <c r="W32" s="188" t="str">
        <f t="shared" si="0"/>
        <v>NP - 20VOC</v>
      </c>
      <c r="X32" s="190" t="str">
        <f t="shared" si="1"/>
        <v>$8,000-$12,000</v>
      </c>
      <c r="Y32" s="42"/>
      <c r="Z32" s="42"/>
      <c r="AA32" s="42"/>
    </row>
    <row r="33" spans="1:27" ht="24.65" customHeight="1" x14ac:dyDescent="0.3">
      <c r="A33" s="51" t="str">
        <f>IF(ISNA(VLOOKUP(B33,Shortlist_xref!$A$5:$B$77,2,FALSE))=TRUE,"-",VLOOKUP(B33,Shortlist_xref!$A$5:$B$77,2,FALSE))</f>
        <v>-</v>
      </c>
      <c r="B33" s="3" t="s">
        <v>98</v>
      </c>
      <c r="C33" s="5" t="s">
        <v>976</v>
      </c>
      <c r="D33" s="5" t="s">
        <v>52</v>
      </c>
      <c r="E33" s="5" t="s">
        <v>53</v>
      </c>
      <c r="F33" s="31">
        <v>0.1</v>
      </c>
      <c r="G33" s="32">
        <v>0.95</v>
      </c>
      <c r="H33" s="33">
        <v>15703</v>
      </c>
      <c r="I33" s="34">
        <v>2.5680042313342828E-2</v>
      </c>
      <c r="J33" s="9">
        <v>3680.3880161225002</v>
      </c>
      <c r="K33" s="35"/>
      <c r="L33" s="35" t="s">
        <v>613</v>
      </c>
      <c r="M33" s="195" t="s">
        <v>614</v>
      </c>
      <c r="N33" s="195" t="s">
        <v>381</v>
      </c>
      <c r="O33" s="195" t="s">
        <v>381</v>
      </c>
      <c r="P33" s="195" t="s">
        <v>381</v>
      </c>
      <c r="Q33" s="173" t="s">
        <v>1171</v>
      </c>
      <c r="R33" s="173" t="s">
        <v>1171</v>
      </c>
      <c r="S33" s="173" t="s">
        <v>1171</v>
      </c>
      <c r="T33" s="173" t="s">
        <v>1171</v>
      </c>
      <c r="U33" s="173" t="s">
        <v>1172</v>
      </c>
      <c r="V33" s="151" t="b">
        <v>1</v>
      </c>
      <c r="W33" s="188" t="str">
        <f t="shared" si="0"/>
        <v>NP - 21VOC</v>
      </c>
      <c r="X33" s="190">
        <f t="shared" si="1"/>
        <v>15703</v>
      </c>
      <c r="Y33" s="42"/>
      <c r="Z33" s="42"/>
      <c r="AA33" s="42"/>
    </row>
    <row r="34" spans="1:27" ht="24.65" customHeight="1" x14ac:dyDescent="0.3">
      <c r="A34" s="51" t="str">
        <f>IF(ISNA(VLOOKUP(B34,Shortlist_xref!$A$5:$B$77,2,FALSE))=TRUE,"-",VLOOKUP(B34,Shortlist_xref!$A$5:$B$77,2,FALSE))</f>
        <v>-</v>
      </c>
      <c r="B34" s="3" t="s">
        <v>977</v>
      </c>
      <c r="C34" s="5" t="s">
        <v>976</v>
      </c>
      <c r="D34" s="5" t="s">
        <v>978</v>
      </c>
      <c r="E34" s="5" t="s">
        <v>53</v>
      </c>
      <c r="F34" s="31">
        <v>0.1</v>
      </c>
      <c r="G34" s="32">
        <v>0.08</v>
      </c>
      <c r="H34" s="33">
        <v>1688</v>
      </c>
      <c r="I34" s="34">
        <v>2.5680042313342828E-2</v>
      </c>
      <c r="J34" s="9">
        <v>309.92741188400004</v>
      </c>
      <c r="K34" s="35"/>
      <c r="L34" s="35" t="s">
        <v>613</v>
      </c>
      <c r="M34" s="195" t="s">
        <v>614</v>
      </c>
      <c r="N34" s="195" t="s">
        <v>381</v>
      </c>
      <c r="O34" s="195" t="s">
        <v>381</v>
      </c>
      <c r="P34" s="195" t="s">
        <v>381</v>
      </c>
      <c r="Q34" s="173" t="s">
        <v>1171</v>
      </c>
      <c r="R34" s="173" t="s">
        <v>1171</v>
      </c>
      <c r="S34" s="173" t="s">
        <v>1171</v>
      </c>
      <c r="T34" s="173" t="s">
        <v>1171</v>
      </c>
      <c r="U34" s="173" t="s">
        <v>1172</v>
      </c>
      <c r="V34" s="151" t="b">
        <v>1</v>
      </c>
      <c r="W34" s="188" t="str">
        <f t="shared" si="0"/>
        <v>NP - 22VOC</v>
      </c>
      <c r="X34" s="190">
        <f t="shared" si="1"/>
        <v>1688</v>
      </c>
      <c r="Y34" s="42"/>
      <c r="Z34" s="42"/>
      <c r="AA34" s="42"/>
    </row>
    <row r="35" spans="1:27" ht="24.65" customHeight="1" x14ac:dyDescent="0.3">
      <c r="A35" s="51" t="str">
        <f>IF(ISNA(VLOOKUP(B35,Shortlist_xref!$A$5:$B$77,2,FALSE))=TRUE,"-",VLOOKUP(B35,Shortlist_xref!$A$5:$B$77,2,FALSE))</f>
        <v>-</v>
      </c>
      <c r="B35" s="3" t="s">
        <v>99</v>
      </c>
      <c r="C35" s="5" t="s">
        <v>979</v>
      </c>
      <c r="D35" s="5" t="s">
        <v>52</v>
      </c>
      <c r="E35" s="5" t="s">
        <v>53</v>
      </c>
      <c r="F35" s="31">
        <v>0.1</v>
      </c>
      <c r="G35" s="32">
        <v>0.97</v>
      </c>
      <c r="H35" s="33">
        <v>15711</v>
      </c>
      <c r="I35" s="34">
        <v>2.5680042313342828E-2</v>
      </c>
      <c r="J35" s="9">
        <v>3757.8698690935003</v>
      </c>
      <c r="K35" s="35"/>
      <c r="L35" s="35" t="s">
        <v>613</v>
      </c>
      <c r="M35" s="195" t="s">
        <v>614</v>
      </c>
      <c r="N35" s="195" t="s">
        <v>381</v>
      </c>
      <c r="O35" s="195" t="s">
        <v>381</v>
      </c>
      <c r="P35" s="195" t="s">
        <v>381</v>
      </c>
      <c r="Q35" s="173" t="s">
        <v>1171</v>
      </c>
      <c r="R35" s="173" t="s">
        <v>1171</v>
      </c>
      <c r="S35" s="173" t="s">
        <v>1171</v>
      </c>
      <c r="T35" s="173" t="s">
        <v>1171</v>
      </c>
      <c r="U35" s="173" t="s">
        <v>1172</v>
      </c>
      <c r="V35" s="151" t="b">
        <v>1</v>
      </c>
      <c r="W35" s="188" t="str">
        <f t="shared" si="0"/>
        <v>NP - 23VOC</v>
      </c>
      <c r="X35" s="190">
        <f t="shared" si="1"/>
        <v>15711</v>
      </c>
      <c r="Y35" s="42"/>
      <c r="Z35" s="42"/>
      <c r="AA35" s="42"/>
    </row>
    <row r="36" spans="1:27" ht="24.65" customHeight="1" x14ac:dyDescent="0.3">
      <c r="A36" s="51" t="str">
        <f>IF(ISNA(VLOOKUP(B36,Shortlist_xref!$A$5:$B$77,2,FALSE))=TRUE,"-",VLOOKUP(B36,Shortlist_xref!$A$5:$B$77,2,FALSE))</f>
        <v>-</v>
      </c>
      <c r="B36" s="3" t="s">
        <v>980</v>
      </c>
      <c r="C36" s="5" t="s">
        <v>979</v>
      </c>
      <c r="D36" s="5" t="s">
        <v>981</v>
      </c>
      <c r="E36" s="5" t="s">
        <v>53</v>
      </c>
      <c r="F36" s="31">
        <v>0.1</v>
      </c>
      <c r="G36" s="32">
        <v>0.65</v>
      </c>
      <c r="H36" s="33">
        <v>2003</v>
      </c>
      <c r="I36" s="34">
        <v>2.5680042313342828E-2</v>
      </c>
      <c r="J36" s="9">
        <v>2518.1602215575003</v>
      </c>
      <c r="K36" s="35"/>
      <c r="L36" s="35" t="s">
        <v>613</v>
      </c>
      <c r="M36" s="195" t="s">
        <v>614</v>
      </c>
      <c r="N36" s="195" t="s">
        <v>381</v>
      </c>
      <c r="O36" s="195" t="s">
        <v>381</v>
      </c>
      <c r="P36" s="195" t="s">
        <v>381</v>
      </c>
      <c r="Q36" s="173" t="s">
        <v>1171</v>
      </c>
      <c r="R36" s="173" t="s">
        <v>1171</v>
      </c>
      <c r="S36" s="173" t="s">
        <v>1171</v>
      </c>
      <c r="T36" s="173" t="s">
        <v>1171</v>
      </c>
      <c r="U36" s="173" t="s">
        <v>1172</v>
      </c>
      <c r="V36" s="151" t="b">
        <v>1</v>
      </c>
      <c r="W36" s="188" t="str">
        <f t="shared" si="0"/>
        <v>NP - 24VOC</v>
      </c>
      <c r="X36" s="190">
        <f t="shared" si="1"/>
        <v>2003</v>
      </c>
      <c r="Y36" s="42"/>
      <c r="Z36" s="42"/>
      <c r="AA36" s="42"/>
    </row>
    <row r="37" spans="1:27" x14ac:dyDescent="0.3">
      <c r="A37" s="119" t="s">
        <v>100</v>
      </c>
      <c r="B37" s="26"/>
      <c r="C37" s="26"/>
      <c r="D37" s="26"/>
      <c r="E37" s="26"/>
      <c r="F37" s="27"/>
      <c r="G37" s="28"/>
      <c r="H37" s="37"/>
      <c r="I37" s="29"/>
      <c r="J37" s="28"/>
      <c r="K37" s="38"/>
      <c r="L37" s="38"/>
      <c r="M37" s="196"/>
      <c r="N37" s="196"/>
      <c r="O37" s="196"/>
      <c r="P37" s="196"/>
      <c r="V37" s="151" t="b">
        <v>1</v>
      </c>
      <c r="W37" s="188" t="str">
        <f t="shared" si="0"/>
        <v/>
      </c>
      <c r="X37" s="190">
        <f t="shared" si="1"/>
        <v>0</v>
      </c>
    </row>
    <row r="38" spans="1:27" ht="24.2" x14ac:dyDescent="0.3">
      <c r="A38" s="51" t="str">
        <f>IF(ISNA(VLOOKUP(B38,Shortlist_xref!$A$5:$B$77,2,FALSE))=TRUE,"-",VLOOKUP(B38,Shortlist_xref!$A$5:$B$77,2,FALSE))</f>
        <v>-</v>
      </c>
      <c r="B38" s="3" t="s">
        <v>101</v>
      </c>
      <c r="C38" s="5" t="s">
        <v>982</v>
      </c>
      <c r="D38" s="5" t="s">
        <v>97</v>
      </c>
      <c r="E38" s="5" t="s">
        <v>53</v>
      </c>
      <c r="F38" s="31">
        <v>0.1</v>
      </c>
      <c r="G38" s="32">
        <v>0.9</v>
      </c>
      <c r="H38" s="33" t="s">
        <v>37</v>
      </c>
      <c r="I38" s="34">
        <v>1.804653016284147E-4</v>
      </c>
      <c r="J38" s="9">
        <v>24.502505130000003</v>
      </c>
      <c r="K38" s="35" t="s">
        <v>983</v>
      </c>
      <c r="L38" s="35" t="s">
        <v>566</v>
      </c>
      <c r="M38" s="195" t="s">
        <v>984</v>
      </c>
      <c r="N38" s="195" t="s">
        <v>381</v>
      </c>
      <c r="O38" s="195" t="s">
        <v>381</v>
      </c>
      <c r="P38" s="195" t="s">
        <v>381</v>
      </c>
      <c r="Q38" s="173" t="s">
        <v>1171</v>
      </c>
      <c r="R38" s="173" t="s">
        <v>1171</v>
      </c>
      <c r="S38" s="173" t="s">
        <v>1171</v>
      </c>
      <c r="T38" s="173" t="s">
        <v>1171</v>
      </c>
      <c r="U38" s="173" t="s">
        <v>1172</v>
      </c>
      <c r="V38" s="151" t="b">
        <v>1</v>
      </c>
      <c r="W38" s="188" t="str">
        <f t="shared" si="0"/>
        <v>NP - 25VOC</v>
      </c>
      <c r="X38" s="190" t="str">
        <f t="shared" si="1"/>
        <v>NA</v>
      </c>
      <c r="Y38" s="42"/>
      <c r="Z38" s="42"/>
      <c r="AA38" s="42"/>
    </row>
    <row r="39" spans="1:27" ht="24.2" x14ac:dyDescent="0.3">
      <c r="A39" s="51" t="str">
        <f>IF(ISNA(VLOOKUP(B39,Shortlist_xref!$A$5:$B$77,2,FALSE))=TRUE,"-",VLOOKUP(B39,Shortlist_xref!$A$5:$B$77,2,FALSE))</f>
        <v>EmissRed</v>
      </c>
      <c r="B39" s="3" t="s">
        <v>102</v>
      </c>
      <c r="C39" s="5" t="s">
        <v>103</v>
      </c>
      <c r="D39" s="5" t="s">
        <v>104</v>
      </c>
      <c r="E39" s="5" t="s">
        <v>53</v>
      </c>
      <c r="F39" s="31">
        <v>0.1</v>
      </c>
      <c r="G39" s="32">
        <v>0.5</v>
      </c>
      <c r="H39" s="33">
        <v>3498</v>
      </c>
      <c r="I39" s="34">
        <v>0.16138265066447427</v>
      </c>
      <c r="J39" s="9">
        <v>12173.097943415489</v>
      </c>
      <c r="K39" s="35" t="s">
        <v>985</v>
      </c>
      <c r="L39" s="35" t="s">
        <v>613</v>
      </c>
      <c r="M39" s="195" t="s">
        <v>614</v>
      </c>
      <c r="N39" s="195" t="s">
        <v>381</v>
      </c>
      <c r="O39" s="195" t="s">
        <v>381</v>
      </c>
      <c r="P39" s="195" t="s">
        <v>381</v>
      </c>
      <c r="Q39" s="173" t="s">
        <v>1171</v>
      </c>
      <c r="R39" s="173" t="s">
        <v>1171</v>
      </c>
      <c r="S39" s="173" t="s">
        <v>1171</v>
      </c>
      <c r="T39" s="173" t="s">
        <v>1171</v>
      </c>
      <c r="U39" s="173" t="s">
        <v>1172</v>
      </c>
      <c r="V39" s="151" t="b">
        <v>1</v>
      </c>
      <c r="W39" s="188" t="str">
        <f t="shared" si="0"/>
        <v>NP - 26VOC</v>
      </c>
      <c r="X39" s="190">
        <f t="shared" si="1"/>
        <v>3498</v>
      </c>
      <c r="Y39" s="42"/>
      <c r="Z39" s="42"/>
      <c r="AA39" s="42"/>
    </row>
    <row r="40" spans="1:27" x14ac:dyDescent="0.3">
      <c r="A40" s="51" t="str">
        <f>IF(ISNA(VLOOKUP(B40,Shortlist_xref!$A$5:$B$77,2,FALSE))=TRUE,"-",VLOOKUP(B40,Shortlist_xref!$A$5:$B$77,2,FALSE))</f>
        <v>-</v>
      </c>
      <c r="B40" s="3" t="s">
        <v>986</v>
      </c>
      <c r="C40" s="5" t="s">
        <v>103</v>
      </c>
      <c r="D40" s="5" t="s">
        <v>987</v>
      </c>
      <c r="E40" s="5" t="s">
        <v>53</v>
      </c>
      <c r="F40" s="31">
        <v>0.1</v>
      </c>
      <c r="G40" s="32">
        <v>0.15049999999999999</v>
      </c>
      <c r="H40" s="33" t="s">
        <v>988</v>
      </c>
      <c r="I40" s="34">
        <v>0.16138265066447427</v>
      </c>
      <c r="J40" s="9">
        <v>3664.1024809680621</v>
      </c>
      <c r="K40" s="35"/>
      <c r="L40" s="35" t="s">
        <v>613</v>
      </c>
      <c r="M40" s="195" t="s">
        <v>614</v>
      </c>
      <c r="N40" s="195" t="s">
        <v>381</v>
      </c>
      <c r="O40" s="195" t="s">
        <v>381</v>
      </c>
      <c r="P40" s="195" t="s">
        <v>381</v>
      </c>
      <c r="Q40" s="173" t="s">
        <v>1171</v>
      </c>
      <c r="R40" s="173" t="s">
        <v>1171</v>
      </c>
      <c r="S40" s="173" t="s">
        <v>1171</v>
      </c>
      <c r="T40" s="173" t="s">
        <v>1172</v>
      </c>
      <c r="U40" s="173" t="s">
        <v>1172</v>
      </c>
      <c r="V40" s="151" t="b">
        <v>1</v>
      </c>
      <c r="W40" s="188" t="str">
        <f t="shared" si="0"/>
        <v>NP - 27VOC</v>
      </c>
      <c r="X40" s="190" t="str">
        <f t="shared" si="1"/>
        <v>$1,244-$4,820</v>
      </c>
      <c r="Y40" s="42"/>
      <c r="Z40" s="42"/>
      <c r="AA40" s="42"/>
    </row>
    <row r="41" spans="1:27" x14ac:dyDescent="0.3">
      <c r="A41" s="51" t="str">
        <f>IF(ISNA(VLOOKUP(B41,Shortlist_xref!$A$5:$B$77,2,FALSE))=TRUE,"-",VLOOKUP(B41,Shortlist_xref!$A$5:$B$77,2,FALSE))</f>
        <v>-</v>
      </c>
      <c r="B41" s="3" t="s">
        <v>989</v>
      </c>
      <c r="C41" s="5" t="s">
        <v>990</v>
      </c>
      <c r="D41" s="5" t="s">
        <v>991</v>
      </c>
      <c r="E41" s="5" t="s">
        <v>53</v>
      </c>
      <c r="F41" s="31">
        <v>0.1</v>
      </c>
      <c r="G41" s="32">
        <v>0.2</v>
      </c>
      <c r="H41" s="33">
        <v>14926</v>
      </c>
      <c r="I41" s="34">
        <v>2.7678034784002856E-2</v>
      </c>
      <c r="J41" s="9">
        <v>835.10198133360211</v>
      </c>
      <c r="K41" s="35"/>
      <c r="L41" s="35" t="s">
        <v>613</v>
      </c>
      <c r="M41" s="195" t="s">
        <v>614</v>
      </c>
      <c r="N41" s="195" t="s">
        <v>381</v>
      </c>
      <c r="O41" s="195" t="s">
        <v>381</v>
      </c>
      <c r="P41" s="195" t="s">
        <v>381</v>
      </c>
      <c r="Q41" s="173" t="s">
        <v>1171</v>
      </c>
      <c r="R41" s="173" t="s">
        <v>1171</v>
      </c>
      <c r="S41" s="173" t="s">
        <v>1171</v>
      </c>
      <c r="T41" s="173" t="s">
        <v>1171</v>
      </c>
      <c r="U41" s="173" t="s">
        <v>1172</v>
      </c>
      <c r="V41" s="151" t="b">
        <v>1</v>
      </c>
      <c r="W41" s="188" t="str">
        <f t="shared" si="0"/>
        <v>NP - 28VOC</v>
      </c>
      <c r="X41" s="190">
        <f t="shared" si="1"/>
        <v>14926</v>
      </c>
      <c r="Y41" s="42"/>
      <c r="Z41" s="42"/>
      <c r="AA41" s="42"/>
    </row>
    <row r="42" spans="1:27" ht="21.9" x14ac:dyDescent="0.3">
      <c r="A42" s="51" t="str">
        <f>IF(ISNA(VLOOKUP(B42,Shortlist_xref!$A$5:$B$77,2,FALSE))=TRUE,"-",VLOOKUP(B42,Shortlist_xref!$A$5:$B$77,2,FALSE))</f>
        <v>-</v>
      </c>
      <c r="B42" s="3" t="s">
        <v>992</v>
      </c>
      <c r="C42" s="5" t="s">
        <v>993</v>
      </c>
      <c r="D42" s="5" t="s">
        <v>994</v>
      </c>
      <c r="E42" s="5" t="s">
        <v>53</v>
      </c>
      <c r="F42" s="31" t="s">
        <v>37</v>
      </c>
      <c r="G42" s="32" t="s">
        <v>37</v>
      </c>
      <c r="H42" s="33" t="s">
        <v>37</v>
      </c>
      <c r="I42" s="34">
        <v>0.16138265066447427</v>
      </c>
      <c r="J42" s="9" t="s">
        <v>37</v>
      </c>
      <c r="K42" s="35"/>
      <c r="L42" s="35" t="s">
        <v>995</v>
      </c>
      <c r="M42" s="195" t="s">
        <v>996</v>
      </c>
      <c r="N42" s="195" t="s">
        <v>381</v>
      </c>
      <c r="O42" s="195" t="s">
        <v>381</v>
      </c>
      <c r="P42" s="195" t="s">
        <v>381</v>
      </c>
      <c r="Q42" s="173" t="s">
        <v>1171</v>
      </c>
      <c r="R42" s="173" t="s">
        <v>1171</v>
      </c>
      <c r="S42" s="173" t="s">
        <v>1171</v>
      </c>
      <c r="T42" s="173" t="s">
        <v>1171</v>
      </c>
      <c r="U42" s="173" t="s">
        <v>1172</v>
      </c>
      <c r="V42" s="151" t="b">
        <v>1</v>
      </c>
      <c r="W42" s="188" t="str">
        <f t="shared" si="0"/>
        <v>NP - 29VOC</v>
      </c>
      <c r="X42" s="190" t="str">
        <f t="shared" si="1"/>
        <v>NA</v>
      </c>
      <c r="Y42" s="42"/>
      <c r="Z42" s="42"/>
      <c r="AA42" s="42"/>
    </row>
    <row r="43" spans="1:27" ht="24.2" x14ac:dyDescent="0.3">
      <c r="A43" s="51" t="str">
        <f>IF(ISNA(VLOOKUP(B43,Shortlist_xref!$A$5:$B$77,2,FALSE))=TRUE,"-",VLOOKUP(B43,Shortlist_xref!$A$5:$B$77,2,FALSE))</f>
        <v>-</v>
      </c>
      <c r="B43" s="3" t="s">
        <v>997</v>
      </c>
      <c r="C43" s="5" t="s">
        <v>998</v>
      </c>
      <c r="D43" s="5" t="s">
        <v>999</v>
      </c>
      <c r="E43" s="5" t="s">
        <v>53</v>
      </c>
      <c r="F43" s="31" t="s">
        <v>37</v>
      </c>
      <c r="G43" s="32" t="s">
        <v>37</v>
      </c>
      <c r="H43" s="33" t="s">
        <v>37</v>
      </c>
      <c r="I43" s="34">
        <v>0.16138265066447427</v>
      </c>
      <c r="J43" s="9" t="s">
        <v>37</v>
      </c>
      <c r="K43" s="35"/>
      <c r="L43" s="35" t="s">
        <v>961</v>
      </c>
      <c r="M43" s="195" t="s">
        <v>1000</v>
      </c>
      <c r="N43" s="195" t="s">
        <v>1001</v>
      </c>
      <c r="O43" s="195" t="s">
        <v>381</v>
      </c>
      <c r="P43" s="195" t="s">
        <v>381</v>
      </c>
      <c r="Q43" s="173" t="s">
        <v>1171</v>
      </c>
      <c r="R43" s="173" t="s">
        <v>1171</v>
      </c>
      <c r="S43" s="173" t="s">
        <v>1171</v>
      </c>
      <c r="T43" s="173" t="s">
        <v>1171</v>
      </c>
      <c r="U43" s="173" t="s">
        <v>1172</v>
      </c>
      <c r="V43" s="151" t="b">
        <v>1</v>
      </c>
      <c r="W43" s="188" t="str">
        <f t="shared" si="0"/>
        <v>NP - 30VOC</v>
      </c>
      <c r="X43" s="190" t="str">
        <f t="shared" si="1"/>
        <v>NA</v>
      </c>
      <c r="Y43" s="42"/>
      <c r="Z43" s="42"/>
      <c r="AA43" s="42"/>
    </row>
    <row r="44" spans="1:27" x14ac:dyDescent="0.3">
      <c r="A44" s="119" t="s">
        <v>105</v>
      </c>
      <c r="B44" s="26"/>
      <c r="C44" s="26"/>
      <c r="D44" s="26"/>
      <c r="E44" s="26"/>
      <c r="F44" s="27"/>
      <c r="G44" s="28"/>
      <c r="H44" s="37"/>
      <c r="I44" s="29"/>
      <c r="J44" s="28"/>
      <c r="K44" s="38"/>
      <c r="L44" s="38"/>
      <c r="M44" s="196"/>
      <c r="N44" s="196"/>
      <c r="O44" s="196"/>
      <c r="P44" s="196"/>
      <c r="Q44" s="173"/>
      <c r="R44" s="173"/>
      <c r="S44" s="173"/>
      <c r="T44" s="173"/>
      <c r="U44" s="173"/>
      <c r="V44" s="151" t="b">
        <v>1</v>
      </c>
      <c r="W44" s="188" t="str">
        <f t="shared" si="0"/>
        <v/>
      </c>
      <c r="X44" s="190">
        <f t="shared" si="1"/>
        <v>0</v>
      </c>
    </row>
    <row r="45" spans="1:27" ht="32.85" x14ac:dyDescent="0.3">
      <c r="A45" s="51" t="str">
        <f>IF(ISNA(VLOOKUP(B45,Shortlist_xref!$A$5:$B$77,2,FALSE))=TRUE,"-",VLOOKUP(B45,Shortlist_xref!$A$5:$B$77,2,FALSE))</f>
        <v>-</v>
      </c>
      <c r="B45" s="3" t="s">
        <v>1002</v>
      </c>
      <c r="C45" s="5" t="s">
        <v>1003</v>
      </c>
      <c r="D45" s="5" t="s">
        <v>1004</v>
      </c>
      <c r="E45" s="5" t="s">
        <v>53</v>
      </c>
      <c r="F45" s="31">
        <v>0.1</v>
      </c>
      <c r="G45" s="32">
        <v>3.2258064516129031E-2</v>
      </c>
      <c r="H45" s="33" t="s">
        <v>969</v>
      </c>
      <c r="I45" s="34">
        <v>3.6124037653527376E-2</v>
      </c>
      <c r="J45" s="9">
        <v>175.7959477885808</v>
      </c>
      <c r="K45" s="35" t="s">
        <v>358</v>
      </c>
      <c r="L45" s="35" t="s">
        <v>934</v>
      </c>
      <c r="M45" s="195" t="s">
        <v>571</v>
      </c>
      <c r="N45" s="195" t="s">
        <v>381</v>
      </c>
      <c r="O45" s="195" t="s">
        <v>381</v>
      </c>
      <c r="P45" s="195" t="s">
        <v>381</v>
      </c>
      <c r="Q45" s="173" t="s">
        <v>1171</v>
      </c>
      <c r="R45" s="173" t="s">
        <v>1171</v>
      </c>
      <c r="S45" s="173" t="s">
        <v>1171</v>
      </c>
      <c r="T45" s="173" t="s">
        <v>1172</v>
      </c>
      <c r="U45" s="173" t="s">
        <v>1172</v>
      </c>
      <c r="V45" s="151" t="b">
        <v>1</v>
      </c>
      <c r="W45" s="188" t="str">
        <f t="shared" si="0"/>
        <v>NP - 31VOC</v>
      </c>
      <c r="X45" s="190" t="str">
        <f t="shared" si="1"/>
        <v>$8,000-$12,000</v>
      </c>
      <c r="Y45" s="42"/>
      <c r="Z45" s="42"/>
      <c r="AA45" s="42"/>
    </row>
    <row r="46" spans="1:27" ht="21.9" x14ac:dyDescent="0.3">
      <c r="A46" s="51" t="str">
        <f>IF(ISNA(VLOOKUP(B46,Shortlist_xref!$A$5:$B$77,2,FALSE))=TRUE,"-",VLOOKUP(B46,Shortlist_xref!$A$5:$B$77,2,FALSE))</f>
        <v>EmissRed</v>
      </c>
      <c r="B46" s="3" t="s">
        <v>311</v>
      </c>
      <c r="C46" s="5" t="s">
        <v>332</v>
      </c>
      <c r="D46" s="5" t="s">
        <v>97</v>
      </c>
      <c r="E46" s="5" t="s">
        <v>53</v>
      </c>
      <c r="F46" s="31">
        <v>0.3</v>
      </c>
      <c r="G46" s="32">
        <v>0.85</v>
      </c>
      <c r="H46" s="33" t="s">
        <v>37</v>
      </c>
      <c r="I46" s="34">
        <v>1.044399534018455E-2</v>
      </c>
      <c r="J46" s="9">
        <v>4017.7334188848117</v>
      </c>
      <c r="K46" s="35" t="s">
        <v>1005</v>
      </c>
      <c r="L46" s="35" t="s">
        <v>566</v>
      </c>
      <c r="M46" s="195" t="s">
        <v>1006</v>
      </c>
      <c r="N46" s="195" t="s">
        <v>1007</v>
      </c>
      <c r="O46" s="195" t="s">
        <v>381</v>
      </c>
      <c r="P46" s="195" t="s">
        <v>381</v>
      </c>
      <c r="Q46" s="173" t="s">
        <v>1171</v>
      </c>
      <c r="R46" s="173" t="s">
        <v>1172</v>
      </c>
      <c r="S46" s="173" t="s">
        <v>1172</v>
      </c>
      <c r="T46" s="173" t="s">
        <v>1171</v>
      </c>
      <c r="U46" s="173" t="s">
        <v>1172</v>
      </c>
      <c r="V46" s="151" t="b">
        <v>1</v>
      </c>
      <c r="W46" s="188" t="str">
        <f t="shared" si="0"/>
        <v>NP - 32VOC</v>
      </c>
      <c r="X46" s="190" t="str">
        <f t="shared" si="1"/>
        <v>NA</v>
      </c>
      <c r="Y46" s="42"/>
      <c r="Z46" s="42"/>
      <c r="AA46" s="42"/>
    </row>
    <row r="47" spans="1:27" x14ac:dyDescent="0.3">
      <c r="A47" s="51" t="str">
        <f>IF(ISNA(VLOOKUP(B47,Shortlist_xref!$A$5:$B$77,2,FALSE))=TRUE,"-",VLOOKUP(B47,Shortlist_xref!$A$5:$B$77,2,FALSE))</f>
        <v>-</v>
      </c>
      <c r="B47" s="3" t="s">
        <v>1008</v>
      </c>
      <c r="C47" s="5" t="s">
        <v>1009</v>
      </c>
      <c r="D47" s="5" t="s">
        <v>97</v>
      </c>
      <c r="E47" s="5" t="s">
        <v>53</v>
      </c>
      <c r="F47" s="31">
        <v>0.1</v>
      </c>
      <c r="G47" s="32">
        <v>0.65</v>
      </c>
      <c r="H47" s="33" t="s">
        <v>37</v>
      </c>
      <c r="I47" s="34">
        <v>2.5680042313342828E-2</v>
      </c>
      <c r="J47" s="9">
        <v>2518.1602215575003</v>
      </c>
      <c r="K47" s="35"/>
      <c r="L47" s="35" t="s">
        <v>566</v>
      </c>
      <c r="M47" s="195" t="s">
        <v>1010</v>
      </c>
      <c r="N47" s="195" t="s">
        <v>381</v>
      </c>
      <c r="O47" s="195" t="s">
        <v>381</v>
      </c>
      <c r="P47" s="195" t="s">
        <v>381</v>
      </c>
      <c r="Q47" s="173" t="s">
        <v>1171</v>
      </c>
      <c r="R47" s="173" t="s">
        <v>1172</v>
      </c>
      <c r="S47" s="173" t="s">
        <v>1172</v>
      </c>
      <c r="T47" s="173" t="s">
        <v>1171</v>
      </c>
      <c r="U47" s="173" t="s">
        <v>1172</v>
      </c>
      <c r="V47" s="151" t="b">
        <v>1</v>
      </c>
      <c r="W47" s="188" t="str">
        <f t="shared" si="0"/>
        <v>NP - 33VOC</v>
      </c>
      <c r="X47" s="190" t="str">
        <f t="shared" si="1"/>
        <v>NA</v>
      </c>
      <c r="Y47" s="42"/>
      <c r="Z47" s="42"/>
      <c r="AA47" s="42"/>
    </row>
    <row r="48" spans="1:27" x14ac:dyDescent="0.3">
      <c r="A48" s="51" t="str">
        <f>IF(ISNA(VLOOKUP(B48,Shortlist_xref!$A$5:$B$77,2,FALSE))=TRUE,"-",VLOOKUP(B48,Shortlist_xref!$A$5:$B$77,2,FALSE))</f>
        <v>-</v>
      </c>
      <c r="B48" s="3" t="s">
        <v>1011</v>
      </c>
      <c r="C48" s="5" t="s">
        <v>1012</v>
      </c>
      <c r="D48" s="5" t="s">
        <v>991</v>
      </c>
      <c r="E48" s="5" t="s">
        <v>53</v>
      </c>
      <c r="F48" s="31">
        <v>0.1</v>
      </c>
      <c r="G48" s="32">
        <v>0.73</v>
      </c>
      <c r="H48" s="33">
        <v>3534</v>
      </c>
      <c r="I48" s="34">
        <v>1.672045278910776E-3</v>
      </c>
      <c r="J48" s="9">
        <v>184.13873770702</v>
      </c>
      <c r="K48" s="35"/>
      <c r="L48" s="35" t="s">
        <v>613</v>
      </c>
      <c r="M48" s="195" t="s">
        <v>614</v>
      </c>
      <c r="N48" s="195" t="s">
        <v>381</v>
      </c>
      <c r="O48" s="195" t="s">
        <v>381</v>
      </c>
      <c r="P48" s="195" t="s">
        <v>381</v>
      </c>
      <c r="Q48" s="173" t="s">
        <v>1171</v>
      </c>
      <c r="R48" s="173" t="s">
        <v>1171</v>
      </c>
      <c r="S48" s="173" t="s">
        <v>1171</v>
      </c>
      <c r="T48" s="173" t="s">
        <v>1171</v>
      </c>
      <c r="U48" s="173" t="s">
        <v>1172</v>
      </c>
      <c r="V48" s="151" t="b">
        <v>1</v>
      </c>
      <c r="W48" s="188" t="str">
        <f t="shared" si="0"/>
        <v>NP - 34VOC</v>
      </c>
      <c r="X48" s="190">
        <f t="shared" si="1"/>
        <v>3534</v>
      </c>
      <c r="Y48" s="42"/>
      <c r="Z48" s="42"/>
      <c r="AA48" s="42"/>
    </row>
    <row r="49" spans="1:27" x14ac:dyDescent="0.3">
      <c r="A49" s="51" t="str">
        <f>IF(ISNA(VLOOKUP(B49,Shortlist_xref!$A$5:$B$77,2,FALSE))=TRUE,"-",VLOOKUP(B49,Shortlist_xref!$A$5:$B$77,2,FALSE))</f>
        <v>EmissRed</v>
      </c>
      <c r="B49" s="3" t="s">
        <v>308</v>
      </c>
      <c r="C49" s="5" t="s">
        <v>326</v>
      </c>
      <c r="D49" s="5" t="s">
        <v>327</v>
      </c>
      <c r="E49" s="5" t="s">
        <v>53</v>
      </c>
      <c r="F49" s="31">
        <v>0.1</v>
      </c>
      <c r="G49" s="32">
        <v>0.59499999999999997</v>
      </c>
      <c r="H49" s="33" t="s">
        <v>37</v>
      </c>
      <c r="I49" s="34">
        <v>9.6640925667188279E-2</v>
      </c>
      <c r="J49" s="9">
        <v>8674.6570581648393</v>
      </c>
      <c r="K49" s="35"/>
      <c r="L49" s="35" t="s">
        <v>1013</v>
      </c>
      <c r="M49" s="195" t="s">
        <v>359</v>
      </c>
      <c r="N49" s="195" t="s">
        <v>381</v>
      </c>
      <c r="O49" s="195" t="s">
        <v>381</v>
      </c>
      <c r="P49" s="195" t="s">
        <v>381</v>
      </c>
      <c r="Q49" s="173" t="s">
        <v>1171</v>
      </c>
      <c r="R49" s="173" t="s">
        <v>1171</v>
      </c>
      <c r="S49" s="173" t="s">
        <v>1171</v>
      </c>
      <c r="T49" s="173" t="s">
        <v>1171</v>
      </c>
      <c r="U49" s="173" t="s">
        <v>1172</v>
      </c>
      <c r="V49" s="151" t="b">
        <v>1</v>
      </c>
      <c r="W49" s="188" t="str">
        <f t="shared" si="0"/>
        <v>NP - 35VOC</v>
      </c>
      <c r="X49" s="190" t="str">
        <f t="shared" si="1"/>
        <v>NA</v>
      </c>
      <c r="Y49" s="42"/>
      <c r="Z49" s="42"/>
      <c r="AA49" s="42"/>
    </row>
    <row r="50" spans="1:27" ht="32.85" x14ac:dyDescent="0.3">
      <c r="A50" s="51" t="str">
        <f>IF(ISNA(VLOOKUP(B50,Shortlist_xref!$A$5:$B$77,2,FALSE))=TRUE,"-",VLOOKUP(B50,Shortlist_xref!$A$5:$B$77,2,FALSE))</f>
        <v>-</v>
      </c>
      <c r="B50" s="3" t="s">
        <v>1014</v>
      </c>
      <c r="C50" s="5" t="s">
        <v>1015</v>
      </c>
      <c r="D50" s="5" t="s">
        <v>329</v>
      </c>
      <c r="E50" s="5" t="s">
        <v>53</v>
      </c>
      <c r="F50" s="31">
        <v>0.3</v>
      </c>
      <c r="G50" s="32">
        <v>0.5</v>
      </c>
      <c r="H50" s="33" t="s">
        <v>37</v>
      </c>
      <c r="I50" s="34">
        <v>4.8578851772261274E-4</v>
      </c>
      <c r="J50" s="9">
        <v>109.92912524999998</v>
      </c>
      <c r="K50" s="35" t="s">
        <v>1016</v>
      </c>
      <c r="L50" s="35" t="s">
        <v>1017</v>
      </c>
      <c r="M50" s="195" t="s">
        <v>1018</v>
      </c>
      <c r="N50" s="195" t="s">
        <v>1007</v>
      </c>
      <c r="O50" s="195" t="s">
        <v>381</v>
      </c>
      <c r="P50" s="195" t="s">
        <v>381</v>
      </c>
      <c r="Q50" s="173" t="s">
        <v>1171</v>
      </c>
      <c r="R50" s="173" t="s">
        <v>1172</v>
      </c>
      <c r="S50" s="173" t="s">
        <v>1172</v>
      </c>
      <c r="T50" s="173" t="s">
        <v>1171</v>
      </c>
      <c r="U50" s="173" t="s">
        <v>1171</v>
      </c>
      <c r="V50" s="151" t="b">
        <v>1</v>
      </c>
      <c r="W50" s="188" t="str">
        <f t="shared" si="0"/>
        <v>NP - 36VOC</v>
      </c>
      <c r="X50" s="190" t="str">
        <f t="shared" si="1"/>
        <v>NA</v>
      </c>
      <c r="Y50" s="42"/>
      <c r="Z50" s="42"/>
      <c r="AA50" s="42"/>
    </row>
    <row r="51" spans="1:27" ht="32.85" x14ac:dyDescent="0.3">
      <c r="A51" s="51" t="str">
        <f>IF(ISNA(VLOOKUP(B51,Shortlist_xref!$A$5:$B$77,2,FALSE))=TRUE,"-",VLOOKUP(B51,Shortlist_xref!$A$5:$B$77,2,FALSE))</f>
        <v>-</v>
      </c>
      <c r="B51" s="3" t="s">
        <v>1019</v>
      </c>
      <c r="C51" s="5" t="s">
        <v>1020</v>
      </c>
      <c r="D51" s="5" t="s">
        <v>329</v>
      </c>
      <c r="E51" s="5" t="s">
        <v>53</v>
      </c>
      <c r="F51" s="31">
        <v>0.3</v>
      </c>
      <c r="G51" s="32">
        <v>0.5</v>
      </c>
      <c r="H51" s="33" t="s">
        <v>37</v>
      </c>
      <c r="I51" s="34">
        <v>6.861487541575147E-3</v>
      </c>
      <c r="J51" s="9">
        <v>1552.6866029999999</v>
      </c>
      <c r="K51" s="35" t="s">
        <v>1016</v>
      </c>
      <c r="L51" s="35" t="s">
        <v>1017</v>
      </c>
      <c r="M51" s="195" t="s">
        <v>1021</v>
      </c>
      <c r="N51" s="195" t="s">
        <v>1007</v>
      </c>
      <c r="O51" s="195" t="s">
        <v>381</v>
      </c>
      <c r="P51" s="195" t="s">
        <v>381</v>
      </c>
      <c r="Q51" s="173" t="s">
        <v>1171</v>
      </c>
      <c r="R51" s="173" t="s">
        <v>1172</v>
      </c>
      <c r="S51" s="173" t="s">
        <v>1172</v>
      </c>
      <c r="T51" s="173" t="s">
        <v>1171</v>
      </c>
      <c r="U51" s="173" t="s">
        <v>1172</v>
      </c>
      <c r="V51" s="151" t="b">
        <v>1</v>
      </c>
      <c r="W51" s="188" t="str">
        <f t="shared" si="0"/>
        <v>NP - 37VOC</v>
      </c>
      <c r="X51" s="190" t="str">
        <f t="shared" si="1"/>
        <v>NA</v>
      </c>
      <c r="Y51" s="42"/>
      <c r="Z51" s="42"/>
      <c r="AA51" s="42"/>
    </row>
    <row r="52" spans="1:27" ht="32.85" x14ac:dyDescent="0.3">
      <c r="A52" s="51" t="str">
        <f>IF(ISNA(VLOOKUP(B52,Shortlist_xref!$A$5:$B$77,2,FALSE))=TRUE,"-",VLOOKUP(B52,Shortlist_xref!$A$5:$B$77,2,FALSE))</f>
        <v>-</v>
      </c>
      <c r="B52" s="3" t="s">
        <v>1022</v>
      </c>
      <c r="C52" s="5" t="s">
        <v>1023</v>
      </c>
      <c r="D52" s="5" t="s">
        <v>329</v>
      </c>
      <c r="E52" s="5" t="s">
        <v>53</v>
      </c>
      <c r="F52" s="31">
        <v>0.3</v>
      </c>
      <c r="G52" s="32">
        <v>0.5</v>
      </c>
      <c r="H52" s="33" t="s">
        <v>37</v>
      </c>
      <c r="I52" s="34">
        <v>1.1808954635074366E-3</v>
      </c>
      <c r="J52" s="9">
        <v>267.22493549999996</v>
      </c>
      <c r="K52" s="35" t="s">
        <v>1024</v>
      </c>
      <c r="L52" s="35" t="s">
        <v>1017</v>
      </c>
      <c r="M52" s="195" t="s">
        <v>1025</v>
      </c>
      <c r="N52" s="195" t="s">
        <v>1007</v>
      </c>
      <c r="O52" s="195" t="s">
        <v>381</v>
      </c>
      <c r="P52" s="195" t="s">
        <v>381</v>
      </c>
      <c r="Q52" s="173" t="s">
        <v>1171</v>
      </c>
      <c r="R52" s="173" t="s">
        <v>1172</v>
      </c>
      <c r="S52" s="173" t="s">
        <v>1172</v>
      </c>
      <c r="T52" s="173" t="s">
        <v>1171</v>
      </c>
      <c r="U52" s="173" t="s">
        <v>1172</v>
      </c>
      <c r="V52" s="151" t="b">
        <v>1</v>
      </c>
      <c r="W52" s="188" t="str">
        <f t="shared" si="0"/>
        <v>NP - 38VOC</v>
      </c>
      <c r="X52" s="190" t="str">
        <f t="shared" si="1"/>
        <v>NA</v>
      </c>
      <c r="Y52" s="42"/>
      <c r="Z52" s="42"/>
      <c r="AA52" s="42"/>
    </row>
    <row r="53" spans="1:27" ht="23.9" customHeight="1" x14ac:dyDescent="0.3">
      <c r="A53" s="51" t="str">
        <f>IF(ISNA(VLOOKUP(B53,Shortlist_xref!$A$5:$B$77,2,FALSE))=TRUE,"-",VLOOKUP(B53,Shortlist_xref!$A$5:$B$77,2,FALSE))</f>
        <v>-</v>
      </c>
      <c r="B53" s="3" t="s">
        <v>1026</v>
      </c>
      <c r="C53" s="5" t="s">
        <v>1027</v>
      </c>
      <c r="D53" s="5" t="s">
        <v>329</v>
      </c>
      <c r="E53" s="5" t="s">
        <v>53</v>
      </c>
      <c r="F53" s="31">
        <v>0.3</v>
      </c>
      <c r="G53" s="32">
        <v>0.5</v>
      </c>
      <c r="H53" s="33" t="s">
        <v>37</v>
      </c>
      <c r="I53" s="34">
        <v>1.6670393074578571E-2</v>
      </c>
      <c r="J53" s="9">
        <v>3772.3446755249997</v>
      </c>
      <c r="K53" s="35" t="s">
        <v>1016</v>
      </c>
      <c r="L53" s="35" t="s">
        <v>1017</v>
      </c>
      <c r="M53" s="195" t="s">
        <v>1028</v>
      </c>
      <c r="N53" s="195" t="s">
        <v>1007</v>
      </c>
      <c r="O53" s="195" t="s">
        <v>381</v>
      </c>
      <c r="P53" s="195" t="s">
        <v>381</v>
      </c>
      <c r="Q53" s="173" t="s">
        <v>1171</v>
      </c>
      <c r="R53" s="173" t="s">
        <v>1172</v>
      </c>
      <c r="S53" s="173" t="s">
        <v>1172</v>
      </c>
      <c r="T53" s="173" t="s">
        <v>1171</v>
      </c>
      <c r="U53" s="173" t="s">
        <v>1172</v>
      </c>
      <c r="V53" s="151" t="b">
        <v>1</v>
      </c>
      <c r="W53" s="188" t="str">
        <f t="shared" si="0"/>
        <v>NP - 39VOC</v>
      </c>
      <c r="X53" s="190" t="str">
        <f t="shared" si="1"/>
        <v>NA</v>
      </c>
      <c r="Y53" s="42"/>
      <c r="Z53" s="42"/>
      <c r="AA53" s="42"/>
    </row>
    <row r="54" spans="1:27" ht="23.9" customHeight="1" x14ac:dyDescent="0.3">
      <c r="A54" s="51" t="str">
        <f>IF(ISNA(VLOOKUP(B54,Shortlist_xref!$A$5:$B$77,2,FALSE))=TRUE,"-",VLOOKUP(B54,Shortlist_xref!$A$5:$B$77,2,FALSE))</f>
        <v>-</v>
      </c>
      <c r="B54" s="3" t="s">
        <v>1029</v>
      </c>
      <c r="C54" s="5" t="s">
        <v>330</v>
      </c>
      <c r="D54" s="5" t="s">
        <v>1030</v>
      </c>
      <c r="E54" s="5" t="s">
        <v>53</v>
      </c>
      <c r="F54" s="31">
        <v>0.3</v>
      </c>
      <c r="G54" s="32">
        <v>0.5</v>
      </c>
      <c r="H54" s="33" t="s">
        <v>37</v>
      </c>
      <c r="I54" s="34">
        <v>1.3187146538283333E-4</v>
      </c>
      <c r="J54" s="9">
        <v>29.841205187250004</v>
      </c>
      <c r="K54" s="35" t="s">
        <v>1031</v>
      </c>
      <c r="L54" s="35" t="s">
        <v>1017</v>
      </c>
      <c r="M54" s="195" t="s">
        <v>1032</v>
      </c>
      <c r="N54" s="195" t="s">
        <v>1007</v>
      </c>
      <c r="O54" s="195" t="s">
        <v>381</v>
      </c>
      <c r="P54" s="195" t="s">
        <v>381</v>
      </c>
      <c r="Q54" s="173" t="s">
        <v>1171</v>
      </c>
      <c r="R54" s="173" t="s">
        <v>1172</v>
      </c>
      <c r="S54" s="173" t="s">
        <v>1172</v>
      </c>
      <c r="T54" s="173" t="s">
        <v>1171</v>
      </c>
      <c r="U54" s="173" t="s">
        <v>1172</v>
      </c>
      <c r="V54" s="151" t="b">
        <v>1</v>
      </c>
      <c r="W54" s="188" t="str">
        <f t="shared" si="0"/>
        <v>NP - 40VOC</v>
      </c>
      <c r="X54" s="190" t="str">
        <f t="shared" si="1"/>
        <v>NA</v>
      </c>
      <c r="Y54" s="42"/>
      <c r="Z54" s="42"/>
      <c r="AA54" s="42"/>
    </row>
    <row r="55" spans="1:27" x14ac:dyDescent="0.3">
      <c r="A55" s="51" t="str">
        <f>IF(ISNA(VLOOKUP(B55,Shortlist_xref!$A$5:$B$77,2,FALSE))=TRUE,"-",VLOOKUP(B55,Shortlist_xref!$A$5:$B$77,2,FALSE))</f>
        <v>EmissRed</v>
      </c>
      <c r="B55" s="3" t="s">
        <v>310</v>
      </c>
      <c r="C55" s="5" t="s">
        <v>330</v>
      </c>
      <c r="D55" s="5" t="s">
        <v>331</v>
      </c>
      <c r="E55" s="5" t="s">
        <v>53</v>
      </c>
      <c r="F55" s="31">
        <v>0.1</v>
      </c>
      <c r="G55" s="32">
        <v>0.59499999999999997</v>
      </c>
      <c r="H55" s="33" t="s">
        <v>37</v>
      </c>
      <c r="I55" s="34">
        <v>0.12528949785478477</v>
      </c>
      <c r="J55" s="9">
        <v>11246.20257283964</v>
      </c>
      <c r="K55" s="35"/>
      <c r="L55" s="35" t="s">
        <v>1013</v>
      </c>
      <c r="M55" s="195" t="s">
        <v>359</v>
      </c>
      <c r="N55" s="195" t="s">
        <v>381</v>
      </c>
      <c r="O55" s="195" t="s">
        <v>381</v>
      </c>
      <c r="P55" s="195" t="s">
        <v>381</v>
      </c>
      <c r="Q55" s="173" t="s">
        <v>1171</v>
      </c>
      <c r="R55" s="173" t="s">
        <v>1171</v>
      </c>
      <c r="S55" s="173" t="s">
        <v>1171</v>
      </c>
      <c r="T55" s="173" t="s">
        <v>1171</v>
      </c>
      <c r="U55" s="173" t="s">
        <v>1172</v>
      </c>
      <c r="V55" s="151" t="b">
        <v>1</v>
      </c>
      <c r="W55" s="188" t="str">
        <f t="shared" si="0"/>
        <v>NP - 41VOC</v>
      </c>
      <c r="X55" s="190" t="str">
        <f t="shared" si="1"/>
        <v>NA</v>
      </c>
      <c r="Y55" s="42"/>
      <c r="Z55" s="42"/>
      <c r="AA55" s="42"/>
    </row>
    <row r="56" spans="1:27" ht="21.9" x14ac:dyDescent="0.3">
      <c r="A56" s="51" t="str">
        <f>IF(ISNA(VLOOKUP(B56,Shortlist_xref!$A$5:$B$77,2,FALSE))=TRUE,"-",VLOOKUP(B56,Shortlist_xref!$A$5:$B$77,2,FALSE))</f>
        <v>-</v>
      </c>
      <c r="B56" s="3" t="s">
        <v>1033</v>
      </c>
      <c r="C56" s="5" t="s">
        <v>1034</v>
      </c>
      <c r="D56" s="5" t="s">
        <v>1034</v>
      </c>
      <c r="E56" s="5" t="s">
        <v>53</v>
      </c>
      <c r="F56" s="31">
        <v>0.1</v>
      </c>
      <c r="G56" s="32">
        <v>0.19</v>
      </c>
      <c r="H56" s="33" t="s">
        <v>37</v>
      </c>
      <c r="I56" s="34" t="s">
        <v>37</v>
      </c>
      <c r="J56" s="9">
        <v>0</v>
      </c>
      <c r="K56" s="130" t="s">
        <v>1035</v>
      </c>
      <c r="L56" s="35" t="s">
        <v>613</v>
      </c>
      <c r="M56" s="195" t="s">
        <v>614</v>
      </c>
      <c r="N56" s="195" t="s">
        <v>381</v>
      </c>
      <c r="O56" s="195" t="s">
        <v>381</v>
      </c>
      <c r="P56" s="195" t="s">
        <v>381</v>
      </c>
      <c r="Q56" s="173" t="s">
        <v>1171</v>
      </c>
      <c r="R56" s="173" t="s">
        <v>1171</v>
      </c>
      <c r="S56" s="173" t="s">
        <v>1171</v>
      </c>
      <c r="T56" s="173" t="s">
        <v>1171</v>
      </c>
      <c r="U56" s="173" t="s">
        <v>1172</v>
      </c>
      <c r="V56" s="151" t="b">
        <v>1</v>
      </c>
      <c r="W56" s="188" t="str">
        <f t="shared" si="0"/>
        <v>NP - 42VOC</v>
      </c>
      <c r="X56" s="190" t="str">
        <f t="shared" si="1"/>
        <v>NA</v>
      </c>
      <c r="Y56" s="42"/>
      <c r="Z56" s="42"/>
      <c r="AA56" s="42"/>
    </row>
    <row r="57" spans="1:27" ht="24.2" x14ac:dyDescent="0.3">
      <c r="A57" s="51" t="str">
        <f>IF(ISNA(VLOOKUP(B57,Shortlist_xref!$A$5:$B$77,2,FALSE))=TRUE,"-",VLOOKUP(B57,Shortlist_xref!$A$5:$B$77,2,FALSE))</f>
        <v>R-Select</v>
      </c>
      <c r="B57" s="3" t="s">
        <v>106</v>
      </c>
      <c r="C57" s="5" t="s">
        <v>107</v>
      </c>
      <c r="D57" s="5" t="s">
        <v>108</v>
      </c>
      <c r="E57" s="5" t="s">
        <v>53</v>
      </c>
      <c r="F57" s="31">
        <v>0.1</v>
      </c>
      <c r="G57" s="32">
        <v>0.4</v>
      </c>
      <c r="H57" s="33">
        <v>20664</v>
      </c>
      <c r="I57" s="34">
        <v>5.6495140941927639E-2</v>
      </c>
      <c r="J57" s="9">
        <v>3409.144074317961</v>
      </c>
      <c r="K57" s="35"/>
      <c r="L57" s="35" t="s">
        <v>613</v>
      </c>
      <c r="M57" s="195" t="s">
        <v>614</v>
      </c>
      <c r="N57" s="195" t="s">
        <v>381</v>
      </c>
      <c r="O57" s="195" t="s">
        <v>381</v>
      </c>
      <c r="P57" s="195" t="s">
        <v>381</v>
      </c>
      <c r="Q57" s="173" t="s">
        <v>1171</v>
      </c>
      <c r="R57" s="173" t="s">
        <v>1171</v>
      </c>
      <c r="S57" s="173" t="s">
        <v>1171</v>
      </c>
      <c r="T57" s="173" t="s">
        <v>1171</v>
      </c>
      <c r="U57" s="173" t="s">
        <v>1172</v>
      </c>
      <c r="V57" s="151" t="b">
        <v>1</v>
      </c>
      <c r="W57" s="188" t="str">
        <f t="shared" si="0"/>
        <v>NP - 43VOC</v>
      </c>
      <c r="X57" s="190">
        <f t="shared" si="1"/>
        <v>20664</v>
      </c>
      <c r="Y57" s="42"/>
      <c r="Z57" s="42"/>
      <c r="AA57" s="42"/>
    </row>
    <row r="58" spans="1:27" ht="26.5" customHeight="1" x14ac:dyDescent="0.3">
      <c r="A58" s="51" t="str">
        <f>IF(ISNA(VLOOKUP(B58,Shortlist_xref!$A$5:$B$77,2,FALSE))=TRUE,"-",VLOOKUP(B58,Shortlist_xref!$A$5:$B$77,2,FALSE))</f>
        <v>-</v>
      </c>
      <c r="B58" s="3" t="s">
        <v>1036</v>
      </c>
      <c r="C58" s="5" t="s">
        <v>1037</v>
      </c>
      <c r="D58" s="5" t="s">
        <v>1038</v>
      </c>
      <c r="E58" s="5" t="s">
        <v>53</v>
      </c>
      <c r="F58" s="31">
        <v>0.1</v>
      </c>
      <c r="G58" s="32">
        <v>0.33999999999999997</v>
      </c>
      <c r="H58" s="33" t="s">
        <v>37</v>
      </c>
      <c r="I58" s="34">
        <v>9.119242143094387E-5</v>
      </c>
      <c r="J58" s="9">
        <v>4.6774799260000002</v>
      </c>
      <c r="K58" s="35"/>
      <c r="L58" s="35" t="s">
        <v>613</v>
      </c>
      <c r="M58" s="195" t="s">
        <v>614</v>
      </c>
      <c r="N58" s="195" t="s">
        <v>381</v>
      </c>
      <c r="O58" s="195" t="s">
        <v>381</v>
      </c>
      <c r="P58" s="195" t="s">
        <v>381</v>
      </c>
      <c r="Q58" s="173" t="s">
        <v>1171</v>
      </c>
      <c r="R58" s="173" t="s">
        <v>1171</v>
      </c>
      <c r="S58" s="173" t="s">
        <v>1171</v>
      </c>
      <c r="T58" s="173" t="s">
        <v>1171</v>
      </c>
      <c r="U58" s="173" t="s">
        <v>1171</v>
      </c>
      <c r="V58" s="151" t="b">
        <v>1</v>
      </c>
      <c r="W58" s="188" t="str">
        <f t="shared" si="0"/>
        <v>NP - 44VOC</v>
      </c>
      <c r="X58" s="190" t="str">
        <f t="shared" si="1"/>
        <v>NA</v>
      </c>
      <c r="Y58" s="42"/>
      <c r="Z58" s="42"/>
      <c r="AA58" s="42"/>
    </row>
    <row r="59" spans="1:27" x14ac:dyDescent="0.3">
      <c r="A59" s="51" t="str">
        <f>IF(ISNA(VLOOKUP(B59,Shortlist_xref!$A$5:$B$77,2,FALSE))=TRUE,"-",VLOOKUP(B59,Shortlist_xref!$A$5:$B$77,2,FALSE))</f>
        <v>-</v>
      </c>
      <c r="B59" s="3" t="s">
        <v>1039</v>
      </c>
      <c r="C59" s="5" t="s">
        <v>1040</v>
      </c>
      <c r="D59" s="5" t="s">
        <v>52</v>
      </c>
      <c r="E59" s="5" t="s">
        <v>53</v>
      </c>
      <c r="F59" s="31">
        <v>0.1</v>
      </c>
      <c r="G59" s="32">
        <v>0.09</v>
      </c>
      <c r="H59" s="33">
        <v>3221</v>
      </c>
      <c r="I59" s="34">
        <v>3.3693794760845529E-3</v>
      </c>
      <c r="J59" s="9">
        <v>45.747430200000004</v>
      </c>
      <c r="K59" s="35"/>
      <c r="L59" s="35" t="s">
        <v>613</v>
      </c>
      <c r="M59" s="195" t="s">
        <v>614</v>
      </c>
      <c r="N59" s="195" t="s">
        <v>381</v>
      </c>
      <c r="O59" s="195" t="s">
        <v>381</v>
      </c>
      <c r="P59" s="195" t="s">
        <v>381</v>
      </c>
      <c r="Q59" s="173" t="s">
        <v>1171</v>
      </c>
      <c r="R59" s="173" t="s">
        <v>1171</v>
      </c>
      <c r="S59" s="173" t="s">
        <v>1171</v>
      </c>
      <c r="T59" s="173" t="s">
        <v>1171</v>
      </c>
      <c r="U59" s="173" t="s">
        <v>1172</v>
      </c>
      <c r="V59" s="151" t="b">
        <v>1</v>
      </c>
      <c r="W59" s="188" t="str">
        <f t="shared" si="0"/>
        <v>NP - 45VOC</v>
      </c>
      <c r="X59" s="190">
        <f t="shared" si="1"/>
        <v>3221</v>
      </c>
      <c r="Y59" s="42"/>
      <c r="Z59" s="42"/>
      <c r="AA59" s="42"/>
    </row>
    <row r="60" spans="1:27" x14ac:dyDescent="0.3">
      <c r="A60" s="51" t="str">
        <f>IF(ISNA(VLOOKUP(B60,Shortlist_xref!$A$5:$B$77,2,FALSE))=TRUE,"-",VLOOKUP(B60,Shortlist_xref!$A$5:$B$77,2,FALSE))</f>
        <v>-</v>
      </c>
      <c r="B60" s="3" t="s">
        <v>1041</v>
      </c>
      <c r="C60" s="5" t="s">
        <v>1040</v>
      </c>
      <c r="D60" s="5" t="s">
        <v>1042</v>
      </c>
      <c r="E60" s="5" t="s">
        <v>53</v>
      </c>
      <c r="F60" s="31">
        <v>0.1</v>
      </c>
      <c r="G60" s="32">
        <v>0.92</v>
      </c>
      <c r="H60" s="33">
        <v>9621</v>
      </c>
      <c r="I60" s="34">
        <v>3.3693794760845529E-3</v>
      </c>
      <c r="J60" s="9">
        <v>467.64039760000009</v>
      </c>
      <c r="K60" s="35"/>
      <c r="L60" s="35" t="s">
        <v>613</v>
      </c>
      <c r="M60" s="195" t="s">
        <v>614</v>
      </c>
      <c r="N60" s="195" t="s">
        <v>381</v>
      </c>
      <c r="O60" s="195" t="s">
        <v>381</v>
      </c>
      <c r="P60" s="195" t="s">
        <v>381</v>
      </c>
      <c r="Q60" s="173" t="s">
        <v>1171</v>
      </c>
      <c r="R60" s="173" t="s">
        <v>1171</v>
      </c>
      <c r="S60" s="173" t="s">
        <v>1171</v>
      </c>
      <c r="T60" s="173" t="s">
        <v>1171</v>
      </c>
      <c r="U60" s="173" t="s">
        <v>1172</v>
      </c>
      <c r="V60" s="151" t="b">
        <v>1</v>
      </c>
      <c r="W60" s="188" t="str">
        <f t="shared" si="0"/>
        <v>NP - 46VOC</v>
      </c>
      <c r="X60" s="190">
        <f t="shared" si="1"/>
        <v>9621</v>
      </c>
      <c r="Y60" s="42"/>
      <c r="Z60" s="42"/>
      <c r="AA60" s="42"/>
    </row>
    <row r="61" spans="1:27" x14ac:dyDescent="0.3">
      <c r="A61" s="51" t="str">
        <f>IF(ISNA(VLOOKUP(B61,Shortlist_xref!$A$5:$B$77,2,FALSE))=TRUE,"-",VLOOKUP(B61,Shortlist_xref!$A$5:$B$77,2,FALSE))</f>
        <v>-</v>
      </c>
      <c r="B61" s="3" t="s">
        <v>1043</v>
      </c>
      <c r="C61" s="5" t="s">
        <v>1040</v>
      </c>
      <c r="D61" s="5" t="s">
        <v>1044</v>
      </c>
      <c r="E61" s="5" t="s">
        <v>53</v>
      </c>
      <c r="F61" s="31">
        <v>0.1</v>
      </c>
      <c r="G61" s="32">
        <v>0.84</v>
      </c>
      <c r="H61" s="33">
        <v>14344</v>
      </c>
      <c r="I61" s="34">
        <v>3.3693794760845529E-3</v>
      </c>
      <c r="J61" s="9">
        <v>426.97601520000001</v>
      </c>
      <c r="K61" s="35"/>
      <c r="L61" s="35" t="s">
        <v>613</v>
      </c>
      <c r="M61" s="195" t="s">
        <v>614</v>
      </c>
      <c r="N61" s="195" t="s">
        <v>381</v>
      </c>
      <c r="O61" s="195" t="s">
        <v>381</v>
      </c>
      <c r="P61" s="195" t="s">
        <v>381</v>
      </c>
      <c r="Q61" s="173" t="s">
        <v>1171</v>
      </c>
      <c r="R61" s="173" t="s">
        <v>1171</v>
      </c>
      <c r="S61" s="173" t="s">
        <v>1171</v>
      </c>
      <c r="T61" s="173" t="s">
        <v>1171</v>
      </c>
      <c r="U61" s="173" t="s">
        <v>1172</v>
      </c>
      <c r="V61" s="151" t="b">
        <v>1</v>
      </c>
      <c r="W61" s="188" t="str">
        <f t="shared" si="0"/>
        <v>NP - 47VOC</v>
      </c>
      <c r="X61" s="190">
        <f t="shared" si="1"/>
        <v>14344</v>
      </c>
      <c r="Y61" s="42"/>
      <c r="Z61" s="42"/>
      <c r="AA61" s="42"/>
    </row>
    <row r="62" spans="1:27" x14ac:dyDescent="0.3">
      <c r="A62" s="51" t="str">
        <f>IF(ISNA(VLOOKUP(B62,Shortlist_xref!$A$5:$B$77,2,FALSE))=TRUE,"-",VLOOKUP(B62,Shortlist_xref!$A$5:$B$77,2,FALSE))</f>
        <v>C-E</v>
      </c>
      <c r="B62" s="3" t="s">
        <v>109</v>
      </c>
      <c r="C62" s="5" t="s">
        <v>110</v>
      </c>
      <c r="D62" s="5" t="s">
        <v>111</v>
      </c>
      <c r="E62" s="5" t="s">
        <v>53</v>
      </c>
      <c r="F62" s="31">
        <v>0.1</v>
      </c>
      <c r="G62" s="32">
        <v>0.84</v>
      </c>
      <c r="H62" s="33">
        <v>118</v>
      </c>
      <c r="I62" s="34">
        <v>3.4921080654905941E-3</v>
      </c>
      <c r="J62" s="9">
        <v>442.52848247999998</v>
      </c>
      <c r="K62" s="35"/>
      <c r="L62" s="35" t="s">
        <v>613</v>
      </c>
      <c r="M62" s="195" t="s">
        <v>614</v>
      </c>
      <c r="N62" s="195" t="s">
        <v>381</v>
      </c>
      <c r="O62" s="195" t="s">
        <v>381</v>
      </c>
      <c r="P62" s="195" t="s">
        <v>381</v>
      </c>
      <c r="Q62" s="173" t="s">
        <v>1171</v>
      </c>
      <c r="R62" s="173" t="s">
        <v>1171</v>
      </c>
      <c r="S62" s="173" t="s">
        <v>1171</v>
      </c>
      <c r="T62" s="173" t="s">
        <v>1171</v>
      </c>
      <c r="U62" s="173" t="s">
        <v>1172</v>
      </c>
      <c r="V62" s="151" t="b">
        <v>1</v>
      </c>
      <c r="W62" s="188" t="str">
        <f t="shared" si="0"/>
        <v>NP - 48VOC</v>
      </c>
      <c r="X62" s="190">
        <f t="shared" si="1"/>
        <v>118</v>
      </c>
      <c r="Y62" s="42"/>
      <c r="Z62" s="42"/>
      <c r="AA62" s="42"/>
    </row>
    <row r="63" spans="1:27" x14ac:dyDescent="0.3">
      <c r="A63" s="51" t="str">
        <f>IF(ISNA(VLOOKUP(B63,Shortlist_xref!$A$5:$B$77,2,FALSE))=TRUE,"-",VLOOKUP(B63,Shortlist_xref!$A$5:$B$77,2,FALSE))</f>
        <v>-</v>
      </c>
      <c r="B63" s="3" t="s">
        <v>1045</v>
      </c>
      <c r="C63" s="5" t="s">
        <v>1046</v>
      </c>
      <c r="D63" s="5" t="s">
        <v>112</v>
      </c>
      <c r="E63" s="5" t="s">
        <v>53</v>
      </c>
      <c r="F63" s="31">
        <v>0.1</v>
      </c>
      <c r="G63" s="32">
        <v>0.36</v>
      </c>
      <c r="H63" s="33">
        <v>4043</v>
      </c>
      <c r="I63" s="34">
        <v>4.2461777027504258E-3</v>
      </c>
      <c r="J63" s="9">
        <v>230.60829978000001</v>
      </c>
      <c r="K63" s="35"/>
      <c r="L63" s="35" t="s">
        <v>613</v>
      </c>
      <c r="M63" s="195" t="s">
        <v>614</v>
      </c>
      <c r="N63" s="195" t="s">
        <v>381</v>
      </c>
      <c r="O63" s="195" t="s">
        <v>381</v>
      </c>
      <c r="P63" s="195" t="s">
        <v>381</v>
      </c>
      <c r="Q63" s="173" t="s">
        <v>1171</v>
      </c>
      <c r="R63" s="173" t="s">
        <v>1171</v>
      </c>
      <c r="S63" s="173" t="s">
        <v>1171</v>
      </c>
      <c r="T63" s="173" t="s">
        <v>1171</v>
      </c>
      <c r="U63" s="173" t="s">
        <v>1172</v>
      </c>
      <c r="V63" s="151" t="b">
        <v>1</v>
      </c>
      <c r="W63" s="188" t="str">
        <f t="shared" si="0"/>
        <v>NP - 49VOC</v>
      </c>
      <c r="X63" s="190">
        <f t="shared" si="1"/>
        <v>4043</v>
      </c>
      <c r="Y63" s="42"/>
      <c r="Z63" s="42"/>
      <c r="AA63" s="42"/>
    </row>
    <row r="64" spans="1:27" x14ac:dyDescent="0.3">
      <c r="A64" s="51" t="str">
        <f>IF(ISNA(VLOOKUP(B64,Shortlist_xref!$A$5:$B$77,2,FALSE))=TRUE,"-",VLOOKUP(B64,Shortlist_xref!$A$5:$B$77,2,FALSE))</f>
        <v>-</v>
      </c>
      <c r="B64" s="3" t="s">
        <v>1047</v>
      </c>
      <c r="C64" s="5" t="s">
        <v>1048</v>
      </c>
      <c r="D64" s="5" t="s">
        <v>112</v>
      </c>
      <c r="E64" s="5" t="s">
        <v>53</v>
      </c>
      <c r="F64" s="31">
        <v>0.1</v>
      </c>
      <c r="G64" s="32">
        <v>0.36</v>
      </c>
      <c r="H64" s="33">
        <v>4043</v>
      </c>
      <c r="I64" s="34">
        <v>3.568243645870622E-4</v>
      </c>
      <c r="J64" s="9">
        <v>19.378995840000002</v>
      </c>
      <c r="K64" s="35"/>
      <c r="L64" s="35" t="s">
        <v>613</v>
      </c>
      <c r="M64" s="195" t="s">
        <v>614</v>
      </c>
      <c r="N64" s="195" t="s">
        <v>381</v>
      </c>
      <c r="O64" s="195" t="s">
        <v>381</v>
      </c>
      <c r="P64" s="195" t="s">
        <v>381</v>
      </c>
      <c r="Q64" s="173" t="s">
        <v>1171</v>
      </c>
      <c r="R64" s="173" t="s">
        <v>1171</v>
      </c>
      <c r="S64" s="173" t="s">
        <v>1171</v>
      </c>
      <c r="T64" s="173" t="s">
        <v>1171</v>
      </c>
      <c r="U64" s="173" t="s">
        <v>1172</v>
      </c>
      <c r="V64" s="151" t="b">
        <v>1</v>
      </c>
      <c r="W64" s="188" t="str">
        <f t="shared" si="0"/>
        <v>NP - 50VOC</v>
      </c>
      <c r="X64" s="190">
        <f t="shared" si="1"/>
        <v>4043</v>
      </c>
      <c r="Y64" s="42"/>
      <c r="Z64" s="42"/>
      <c r="AA64" s="42"/>
    </row>
    <row r="65" spans="1:27" x14ac:dyDescent="0.3">
      <c r="A65" s="51" t="str">
        <f>IF(ISNA(VLOOKUP(B65,Shortlist_xref!$A$5:$B$77,2,FALSE))=TRUE,"-",VLOOKUP(B65,Shortlist_xref!$A$5:$B$77,2,FALSE))</f>
        <v>-</v>
      </c>
      <c r="B65" s="3" t="s">
        <v>1049</v>
      </c>
      <c r="C65" s="5" t="s">
        <v>1050</v>
      </c>
      <c r="D65" s="5" t="s">
        <v>1051</v>
      </c>
      <c r="E65" s="5" t="s">
        <v>53</v>
      </c>
      <c r="F65" s="31">
        <v>0.1</v>
      </c>
      <c r="G65" s="32">
        <v>0.38</v>
      </c>
      <c r="H65" s="33">
        <v>1850</v>
      </c>
      <c r="I65" s="34">
        <v>5.8864028868148288E-3</v>
      </c>
      <c r="J65" s="9">
        <v>337.44876863299999</v>
      </c>
      <c r="K65" s="35"/>
      <c r="L65" s="35" t="s">
        <v>613</v>
      </c>
      <c r="M65" s="195" t="s">
        <v>614</v>
      </c>
      <c r="N65" s="195" t="s">
        <v>381</v>
      </c>
      <c r="O65" s="195" t="s">
        <v>381</v>
      </c>
      <c r="P65" s="195" t="s">
        <v>381</v>
      </c>
      <c r="Q65" s="173" t="s">
        <v>1171</v>
      </c>
      <c r="R65" s="173" t="s">
        <v>1171</v>
      </c>
      <c r="S65" s="173" t="s">
        <v>1171</v>
      </c>
      <c r="T65" s="173" t="s">
        <v>1171</v>
      </c>
      <c r="U65" s="173" t="s">
        <v>1172</v>
      </c>
      <c r="V65" s="151" t="b">
        <v>1</v>
      </c>
      <c r="W65" s="188" t="str">
        <f t="shared" si="0"/>
        <v>NP - 51VOC</v>
      </c>
      <c r="X65" s="190">
        <f t="shared" si="1"/>
        <v>1850</v>
      </c>
      <c r="Y65" s="42"/>
      <c r="Z65" s="42"/>
      <c r="AA65" s="42"/>
    </row>
    <row r="66" spans="1:27" ht="24.2" x14ac:dyDescent="0.3">
      <c r="A66" s="51" t="str">
        <f>IF(ISNA(VLOOKUP(B66,Shortlist_xref!$A$5:$B$77,2,FALSE))=TRUE,"-",VLOOKUP(B66,Shortlist_xref!$A$5:$B$77,2,FALSE))</f>
        <v>-</v>
      </c>
      <c r="B66" s="3" t="s">
        <v>1052</v>
      </c>
      <c r="C66" s="5" t="s">
        <v>1050</v>
      </c>
      <c r="D66" s="5" t="s">
        <v>1053</v>
      </c>
      <c r="E66" s="5" t="s">
        <v>53</v>
      </c>
      <c r="F66" s="31">
        <v>0.1</v>
      </c>
      <c r="G66" s="32">
        <v>0.89400000000000002</v>
      </c>
      <c r="H66" s="33">
        <v>6400</v>
      </c>
      <c r="I66" s="34">
        <v>5.8864028868148288E-3</v>
      </c>
      <c r="J66" s="9">
        <v>793.89262936290004</v>
      </c>
      <c r="K66" s="35"/>
      <c r="L66" s="35" t="s">
        <v>613</v>
      </c>
      <c r="M66" s="195" t="s">
        <v>614</v>
      </c>
      <c r="N66" s="195" t="s">
        <v>381</v>
      </c>
      <c r="O66" s="195" t="s">
        <v>381</v>
      </c>
      <c r="P66" s="195" t="s">
        <v>381</v>
      </c>
      <c r="Q66" s="173" t="s">
        <v>1171</v>
      </c>
      <c r="R66" s="173" t="s">
        <v>1171</v>
      </c>
      <c r="S66" s="173" t="s">
        <v>1171</v>
      </c>
      <c r="T66" s="173" t="s">
        <v>1171</v>
      </c>
      <c r="U66" s="173" t="s">
        <v>1172</v>
      </c>
      <c r="V66" s="151" t="b">
        <v>1</v>
      </c>
      <c r="W66" s="188" t="str">
        <f t="shared" si="0"/>
        <v>NP - 52VOC</v>
      </c>
      <c r="X66" s="190">
        <f t="shared" si="1"/>
        <v>6400</v>
      </c>
      <c r="Y66" s="42"/>
      <c r="Z66" s="42"/>
      <c r="AA66" s="42"/>
    </row>
    <row r="67" spans="1:27" x14ac:dyDescent="0.3">
      <c r="A67" s="51" t="str">
        <f>IF(ISNA(VLOOKUP(B67,Shortlist_xref!$A$5:$B$77,2,FALSE))=TRUE,"-",VLOOKUP(B67,Shortlist_xref!$A$5:$B$77,2,FALSE))</f>
        <v>-</v>
      </c>
      <c r="B67" s="3" t="s">
        <v>1054</v>
      </c>
      <c r="C67" s="5" t="s">
        <v>1055</v>
      </c>
      <c r="D67" s="5" t="s">
        <v>112</v>
      </c>
      <c r="E67" s="5" t="s">
        <v>53</v>
      </c>
      <c r="F67" s="31">
        <v>0.1</v>
      </c>
      <c r="G67" s="32">
        <v>0.6</v>
      </c>
      <c r="H67" s="33">
        <v>7350</v>
      </c>
      <c r="I67" s="34">
        <v>8.9645524892810748E-5</v>
      </c>
      <c r="J67" s="9">
        <v>8.1143574000000012</v>
      </c>
      <c r="K67" s="130" t="s">
        <v>1056</v>
      </c>
      <c r="L67" s="35" t="s">
        <v>613</v>
      </c>
      <c r="M67" s="195" t="s">
        <v>614</v>
      </c>
      <c r="N67" s="195" t="s">
        <v>381</v>
      </c>
      <c r="O67" s="195" t="s">
        <v>381</v>
      </c>
      <c r="P67" s="195" t="s">
        <v>381</v>
      </c>
      <c r="Q67" s="173" t="s">
        <v>1171</v>
      </c>
      <c r="R67" s="173" t="s">
        <v>1171</v>
      </c>
      <c r="S67" s="173" t="s">
        <v>1171</v>
      </c>
      <c r="T67" s="173" t="s">
        <v>1171</v>
      </c>
      <c r="U67" s="173" t="s">
        <v>1172</v>
      </c>
      <c r="V67" s="151" t="b">
        <v>1</v>
      </c>
      <c r="W67" s="188" t="str">
        <f t="shared" ref="W67:W106" si="2">B67&amp;E67</f>
        <v>NP - 53VOC</v>
      </c>
      <c r="X67" s="190">
        <f t="shared" si="1"/>
        <v>7350</v>
      </c>
      <c r="Y67" s="42"/>
      <c r="Z67" s="42"/>
      <c r="AA67" s="42"/>
    </row>
    <row r="68" spans="1:27" ht="24.2" x14ac:dyDescent="0.3">
      <c r="A68" s="51" t="str">
        <f>IF(ISNA(VLOOKUP(B68,Shortlist_xref!$A$5:$B$77,2,FALSE))=TRUE,"-",VLOOKUP(B68,Shortlist_xref!$A$5:$B$77,2,FALSE))</f>
        <v>-</v>
      </c>
      <c r="B68" s="3" t="s">
        <v>1057</v>
      </c>
      <c r="C68" s="5" t="s">
        <v>1058</v>
      </c>
      <c r="D68" s="5" t="s">
        <v>1044</v>
      </c>
      <c r="E68" s="5" t="s">
        <v>53</v>
      </c>
      <c r="F68" s="31">
        <v>0.1</v>
      </c>
      <c r="G68" s="32">
        <v>0.87</v>
      </c>
      <c r="H68" s="33">
        <v>14344</v>
      </c>
      <c r="I68" s="34">
        <v>4.8578851772261274E-4</v>
      </c>
      <c r="J68" s="9">
        <v>63.758892645000003</v>
      </c>
      <c r="K68" s="35"/>
      <c r="L68" s="35" t="s">
        <v>613</v>
      </c>
      <c r="M68" s="195" t="s">
        <v>614</v>
      </c>
      <c r="N68" s="195" t="s">
        <v>381</v>
      </c>
      <c r="O68" s="195" t="s">
        <v>381</v>
      </c>
      <c r="P68" s="195" t="s">
        <v>381</v>
      </c>
      <c r="Q68" s="173" t="s">
        <v>1171</v>
      </c>
      <c r="R68" s="173" t="s">
        <v>1171</v>
      </c>
      <c r="S68" s="173" t="s">
        <v>1171</v>
      </c>
      <c r="T68" s="173" t="s">
        <v>1171</v>
      </c>
      <c r="U68" s="173" t="s">
        <v>1171</v>
      </c>
      <c r="V68" s="151" t="b">
        <v>1</v>
      </c>
      <c r="W68" s="188" t="str">
        <f t="shared" si="2"/>
        <v>NP - 54VOC</v>
      </c>
      <c r="X68" s="190">
        <f t="shared" ref="X68:X106" si="3">H68</f>
        <v>14344</v>
      </c>
      <c r="Y68" s="42"/>
      <c r="Z68" s="42"/>
      <c r="AA68" s="42"/>
    </row>
    <row r="69" spans="1:27" x14ac:dyDescent="0.3">
      <c r="A69" s="51" t="str">
        <f>IF(ISNA(VLOOKUP(B69,Shortlist_xref!$A$5:$B$77,2,FALSE))=TRUE,"-",VLOOKUP(B69,Shortlist_xref!$A$5:$B$77,2,FALSE))</f>
        <v>-</v>
      </c>
      <c r="B69" s="3" t="s">
        <v>113</v>
      </c>
      <c r="C69" s="5" t="s">
        <v>1059</v>
      </c>
      <c r="D69" s="5" t="s">
        <v>1038</v>
      </c>
      <c r="E69" s="5" t="s">
        <v>53</v>
      </c>
      <c r="F69" s="31">
        <v>0.1</v>
      </c>
      <c r="G69" s="32">
        <v>0.24</v>
      </c>
      <c r="H69" s="33">
        <v>1552</v>
      </c>
      <c r="I69" s="34">
        <v>2.8402397467974226E-3</v>
      </c>
      <c r="J69" s="9">
        <v>102.83489526000002</v>
      </c>
      <c r="K69" s="35"/>
      <c r="L69" s="35" t="s">
        <v>613</v>
      </c>
      <c r="M69" s="195" t="s">
        <v>614</v>
      </c>
      <c r="N69" s="195" t="s">
        <v>381</v>
      </c>
      <c r="O69" s="195" t="s">
        <v>381</v>
      </c>
      <c r="P69" s="195" t="s">
        <v>381</v>
      </c>
      <c r="Q69" s="173" t="s">
        <v>1171</v>
      </c>
      <c r="R69" s="173" t="s">
        <v>1171</v>
      </c>
      <c r="S69" s="173" t="s">
        <v>1171</v>
      </c>
      <c r="T69" s="173" t="s">
        <v>1171</v>
      </c>
      <c r="U69" s="173" t="s">
        <v>1172</v>
      </c>
      <c r="V69" s="151" t="b">
        <v>1</v>
      </c>
      <c r="W69" s="188" t="str">
        <f t="shared" si="2"/>
        <v>NP - 55VOC</v>
      </c>
      <c r="X69" s="190">
        <f t="shared" si="3"/>
        <v>1552</v>
      </c>
      <c r="Y69" s="42"/>
      <c r="Z69" s="42"/>
      <c r="AA69" s="42"/>
    </row>
    <row r="70" spans="1:27" x14ac:dyDescent="0.3">
      <c r="A70" s="51" t="str">
        <f>IF(ISNA(VLOOKUP(B70,Shortlist_xref!$A$5:$B$77,2,FALSE))=TRUE,"-",VLOOKUP(B70,Shortlist_xref!$A$5:$B$77,2,FALSE))</f>
        <v>-</v>
      </c>
      <c r="B70" s="3" t="s">
        <v>1060</v>
      </c>
      <c r="C70" s="5" t="s">
        <v>1059</v>
      </c>
      <c r="D70" s="5" t="s">
        <v>1061</v>
      </c>
      <c r="E70" s="5" t="s">
        <v>53</v>
      </c>
      <c r="F70" s="31">
        <v>0.1</v>
      </c>
      <c r="G70" s="32">
        <v>0.64</v>
      </c>
      <c r="H70" s="33">
        <v>32099</v>
      </c>
      <c r="I70" s="34">
        <v>2.8402397467974226E-3</v>
      </c>
      <c r="J70" s="9">
        <v>274.2263873600001</v>
      </c>
      <c r="K70" s="35"/>
      <c r="L70" s="35" t="s">
        <v>613</v>
      </c>
      <c r="M70" s="195" t="s">
        <v>614</v>
      </c>
      <c r="N70" s="195" t="s">
        <v>381</v>
      </c>
      <c r="O70" s="195" t="s">
        <v>381</v>
      </c>
      <c r="P70" s="195" t="s">
        <v>381</v>
      </c>
      <c r="Q70" s="173" t="s">
        <v>1171</v>
      </c>
      <c r="R70" s="173" t="s">
        <v>1171</v>
      </c>
      <c r="S70" s="173" t="s">
        <v>1171</v>
      </c>
      <c r="T70" s="173" t="s">
        <v>1171</v>
      </c>
      <c r="U70" s="173" t="s">
        <v>1172</v>
      </c>
      <c r="V70" s="151" t="b">
        <v>1</v>
      </c>
      <c r="W70" s="188" t="str">
        <f t="shared" si="2"/>
        <v>NP - 56VOC</v>
      </c>
      <c r="X70" s="190">
        <f t="shared" si="3"/>
        <v>32099</v>
      </c>
      <c r="Y70" s="42"/>
      <c r="Z70" s="42"/>
      <c r="AA70" s="42"/>
    </row>
    <row r="71" spans="1:27" ht="39.75" x14ac:dyDescent="0.3">
      <c r="A71" s="51" t="str">
        <f>IF(ISNA(VLOOKUP(B71,Shortlist_xref!$A$5:$B$77,2,FALSE))=TRUE,"-",VLOOKUP(B71,Shortlist_xref!$A$5:$B$77,2,FALSE))</f>
        <v>-</v>
      </c>
      <c r="B71" s="3" t="s">
        <v>1062</v>
      </c>
      <c r="C71" s="5" t="s">
        <v>1063</v>
      </c>
      <c r="D71" s="5" t="s">
        <v>991</v>
      </c>
      <c r="E71" s="5" t="s">
        <v>53</v>
      </c>
      <c r="F71" s="31">
        <v>0.1</v>
      </c>
      <c r="G71" s="32">
        <v>0.33</v>
      </c>
      <c r="H71" s="33" t="s">
        <v>1064</v>
      </c>
      <c r="I71" s="34">
        <v>4.1201453130560128E-4</v>
      </c>
      <c r="J71" s="9">
        <v>20.511656780999999</v>
      </c>
      <c r="K71" s="35"/>
      <c r="L71" s="35" t="s">
        <v>613</v>
      </c>
      <c r="M71" s="195" t="s">
        <v>614</v>
      </c>
      <c r="N71" s="195" t="s">
        <v>381</v>
      </c>
      <c r="O71" s="195" t="s">
        <v>381</v>
      </c>
      <c r="P71" s="195" t="s">
        <v>381</v>
      </c>
      <c r="Q71" s="173" t="s">
        <v>1171</v>
      </c>
      <c r="R71" s="173" t="s">
        <v>1171</v>
      </c>
      <c r="S71" s="173" t="s">
        <v>1171</v>
      </c>
      <c r="T71" s="173" t="s">
        <v>1171</v>
      </c>
      <c r="U71" s="173" t="s">
        <v>1172</v>
      </c>
      <c r="V71" s="151" t="b">
        <v>1</v>
      </c>
      <c r="W71" s="188" t="str">
        <f t="shared" si="2"/>
        <v>NP - 57VOC</v>
      </c>
      <c r="X71" s="190" t="str">
        <f t="shared" si="3"/>
        <v>ARB estimates $2,219/ton, Others estimate $6,340 to $16,840/ton)</v>
      </c>
      <c r="Y71" s="42"/>
      <c r="Z71" s="42"/>
      <c r="AA71" s="42"/>
    </row>
    <row r="72" spans="1:27" x14ac:dyDescent="0.3">
      <c r="A72" s="51" t="str">
        <f>IF(ISNA(VLOOKUP(B72,Shortlist_xref!$A$5:$B$77,2,FALSE))=TRUE,"-",VLOOKUP(B72,Shortlist_xref!$A$5:$B$77,2,FALSE))</f>
        <v>-</v>
      </c>
      <c r="B72" s="3" t="s">
        <v>114</v>
      </c>
      <c r="C72" s="5" t="s">
        <v>1063</v>
      </c>
      <c r="D72" s="5" t="s">
        <v>1044</v>
      </c>
      <c r="E72" s="5" t="s">
        <v>53</v>
      </c>
      <c r="F72" s="31">
        <v>0.1</v>
      </c>
      <c r="G72" s="32">
        <v>0.8</v>
      </c>
      <c r="H72" s="33">
        <v>1414</v>
      </c>
      <c r="I72" s="34">
        <v>4.1201453130560128E-4</v>
      </c>
      <c r="J72" s="9">
        <v>49.725228560000005</v>
      </c>
      <c r="K72" s="35"/>
      <c r="L72" s="35" t="s">
        <v>613</v>
      </c>
      <c r="M72" s="195" t="s">
        <v>614</v>
      </c>
      <c r="N72" s="195" t="s">
        <v>381</v>
      </c>
      <c r="O72" s="195" t="s">
        <v>381</v>
      </c>
      <c r="P72" s="195" t="s">
        <v>381</v>
      </c>
      <c r="Q72" s="173" t="s">
        <v>1171</v>
      </c>
      <c r="R72" s="173" t="s">
        <v>1171</v>
      </c>
      <c r="S72" s="173" t="s">
        <v>1171</v>
      </c>
      <c r="T72" s="173" t="s">
        <v>1171</v>
      </c>
      <c r="U72" s="173" t="s">
        <v>1172</v>
      </c>
      <c r="V72" s="151" t="b">
        <v>1</v>
      </c>
      <c r="W72" s="188" t="str">
        <f t="shared" si="2"/>
        <v>NP - 58VOC</v>
      </c>
      <c r="X72" s="190">
        <f t="shared" si="3"/>
        <v>1414</v>
      </c>
      <c r="Y72" s="42"/>
      <c r="Z72" s="42"/>
      <c r="AA72" s="42"/>
    </row>
    <row r="73" spans="1:27" ht="21.9" x14ac:dyDescent="0.3">
      <c r="A73" s="51" t="str">
        <f>IF(ISNA(VLOOKUP(B73,Shortlist_xref!$A$5:$B$77,2,FALSE))=TRUE,"-",VLOOKUP(B73,Shortlist_xref!$A$5:$B$77,2,FALSE))</f>
        <v>C-E</v>
      </c>
      <c r="B73" s="3" t="s">
        <v>312</v>
      </c>
      <c r="C73" s="5" t="s">
        <v>115</v>
      </c>
      <c r="D73" s="5" t="s">
        <v>335</v>
      </c>
      <c r="E73" s="5" t="s">
        <v>53</v>
      </c>
      <c r="F73" s="31">
        <v>0.1</v>
      </c>
      <c r="G73" s="32">
        <v>0.64</v>
      </c>
      <c r="H73" s="33">
        <v>263</v>
      </c>
      <c r="I73" s="34">
        <v>1.3970110753240613E-3</v>
      </c>
      <c r="J73" s="9">
        <v>134.88202913856</v>
      </c>
      <c r="K73" s="35" t="s">
        <v>1065</v>
      </c>
      <c r="L73" s="35" t="s">
        <v>1066</v>
      </c>
      <c r="M73" s="195" t="s">
        <v>374</v>
      </c>
      <c r="N73" s="195" t="s">
        <v>552</v>
      </c>
      <c r="O73" s="195" t="s">
        <v>1067</v>
      </c>
      <c r="P73" s="195" t="s">
        <v>381</v>
      </c>
      <c r="Q73" s="173" t="s">
        <v>1171</v>
      </c>
      <c r="R73" s="173" t="s">
        <v>1172</v>
      </c>
      <c r="S73" s="173" t="s">
        <v>1172</v>
      </c>
      <c r="T73" s="173" t="s">
        <v>1172</v>
      </c>
      <c r="U73" s="173" t="s">
        <v>1172</v>
      </c>
      <c r="V73" s="151" t="b">
        <v>1</v>
      </c>
      <c r="W73" s="188" t="str">
        <f t="shared" si="2"/>
        <v>NP - 59VOC</v>
      </c>
      <c r="X73" s="190">
        <f t="shared" si="3"/>
        <v>263</v>
      </c>
      <c r="Y73" s="42"/>
      <c r="Z73" s="42"/>
      <c r="AA73" s="42"/>
    </row>
    <row r="74" spans="1:27" ht="24.2" x14ac:dyDescent="0.3">
      <c r="A74" s="51" t="str">
        <f>IF(ISNA(VLOOKUP(B74,Shortlist_xref!$A$5:$B$77,2,FALSE))=TRUE,"-",VLOOKUP(B74,Shortlist_xref!$A$5:$B$77,2,FALSE))</f>
        <v>-</v>
      </c>
      <c r="B74" s="3" t="s">
        <v>1068</v>
      </c>
      <c r="C74" s="5" t="s">
        <v>1069</v>
      </c>
      <c r="D74" s="5" t="s">
        <v>1070</v>
      </c>
      <c r="E74" s="5" t="s">
        <v>53</v>
      </c>
      <c r="F74" s="31">
        <v>0.1</v>
      </c>
      <c r="G74" s="32">
        <v>0.35</v>
      </c>
      <c r="H74" s="33">
        <v>1758</v>
      </c>
      <c r="I74" s="34">
        <v>1.3970110753240613E-3</v>
      </c>
      <c r="J74" s="9">
        <v>73.763609685150001</v>
      </c>
      <c r="K74" s="130" t="s">
        <v>1071</v>
      </c>
      <c r="L74" s="35" t="s">
        <v>613</v>
      </c>
      <c r="M74" s="195" t="s">
        <v>374</v>
      </c>
      <c r="N74" s="195" t="s">
        <v>381</v>
      </c>
      <c r="O74" s="195" t="s">
        <v>381</v>
      </c>
      <c r="P74" s="195" t="s">
        <v>381</v>
      </c>
      <c r="Q74" s="173" t="s">
        <v>1171</v>
      </c>
      <c r="R74" s="173" t="s">
        <v>1171</v>
      </c>
      <c r="S74" s="173" t="s">
        <v>1171</v>
      </c>
      <c r="T74" s="173" t="s">
        <v>1171</v>
      </c>
      <c r="U74" s="173" t="s">
        <v>1172</v>
      </c>
      <c r="V74" s="151" t="b">
        <v>1</v>
      </c>
      <c r="W74" s="188" t="str">
        <f t="shared" si="2"/>
        <v>NP - 60VOC</v>
      </c>
      <c r="X74" s="190">
        <f t="shared" si="3"/>
        <v>1758</v>
      </c>
      <c r="Y74" s="42"/>
      <c r="Z74" s="42"/>
      <c r="AA74" s="42"/>
    </row>
    <row r="75" spans="1:27" x14ac:dyDescent="0.3">
      <c r="A75" s="51" t="str">
        <f>IF(ISNA(VLOOKUP(B75,Shortlist_xref!$A$5:$B$77,2,FALSE))=TRUE,"-",VLOOKUP(B75,Shortlist_xref!$A$5:$B$77,2,FALSE))</f>
        <v>C-E</v>
      </c>
      <c r="B75" s="3" t="s">
        <v>116</v>
      </c>
      <c r="C75" s="5" t="s">
        <v>115</v>
      </c>
      <c r="D75" s="5" t="s">
        <v>117</v>
      </c>
      <c r="E75" s="5" t="s">
        <v>53</v>
      </c>
      <c r="F75" s="31">
        <v>0.1</v>
      </c>
      <c r="G75" s="32">
        <v>0.64</v>
      </c>
      <c r="H75" s="33">
        <v>263</v>
      </c>
      <c r="I75" s="34">
        <v>1.3970110753240613E-3</v>
      </c>
      <c r="J75" s="9">
        <v>134.88202913856</v>
      </c>
      <c r="K75" s="130" t="s">
        <v>1071</v>
      </c>
      <c r="L75" s="35" t="s">
        <v>613</v>
      </c>
      <c r="M75" s="195" t="s">
        <v>374</v>
      </c>
      <c r="N75" s="195" t="s">
        <v>381</v>
      </c>
      <c r="O75" s="195" t="s">
        <v>381</v>
      </c>
      <c r="P75" s="195" t="s">
        <v>381</v>
      </c>
      <c r="Q75" s="173" t="s">
        <v>1171</v>
      </c>
      <c r="R75" s="173" t="s">
        <v>1171</v>
      </c>
      <c r="S75" s="173" t="s">
        <v>1171</v>
      </c>
      <c r="T75" s="173" t="s">
        <v>1171</v>
      </c>
      <c r="U75" s="173" t="s">
        <v>1172</v>
      </c>
      <c r="V75" s="151" t="b">
        <v>1</v>
      </c>
      <c r="W75" s="188" t="str">
        <f t="shared" si="2"/>
        <v>NP - 61VOC</v>
      </c>
      <c r="X75" s="190">
        <f t="shared" si="3"/>
        <v>263</v>
      </c>
      <c r="Y75" s="42"/>
      <c r="Z75" s="42"/>
      <c r="AA75" s="42"/>
    </row>
    <row r="76" spans="1:27" ht="32" customHeight="1" x14ac:dyDescent="0.3">
      <c r="A76" s="51" t="str">
        <f>IF(ISNA(VLOOKUP(B76,Shortlist_xref!$A$5:$B$77,2,FALSE))=TRUE,"-",VLOOKUP(B76,Shortlist_xref!$A$5:$B$77,2,FALSE))</f>
        <v>C-E</v>
      </c>
      <c r="B76" s="3" t="s">
        <v>118</v>
      </c>
      <c r="C76" s="5" t="s">
        <v>119</v>
      </c>
      <c r="D76" s="5" t="s">
        <v>120</v>
      </c>
      <c r="E76" s="5" t="s">
        <v>53</v>
      </c>
      <c r="F76" s="31">
        <v>0.1</v>
      </c>
      <c r="G76" s="32">
        <v>0.94</v>
      </c>
      <c r="H76" s="33">
        <v>1134</v>
      </c>
      <c r="I76" s="34">
        <v>1.2188265537659382E-3</v>
      </c>
      <c r="J76" s="9">
        <v>172.83990883410075</v>
      </c>
      <c r="K76" s="130" t="s">
        <v>1071</v>
      </c>
      <c r="L76" s="35" t="s">
        <v>613</v>
      </c>
      <c r="M76" s="195" t="s">
        <v>374</v>
      </c>
      <c r="N76" s="195" t="s">
        <v>381</v>
      </c>
      <c r="O76" s="195" t="s">
        <v>381</v>
      </c>
      <c r="P76" s="195" t="s">
        <v>381</v>
      </c>
      <c r="Q76" s="173" t="s">
        <v>1171</v>
      </c>
      <c r="R76" s="173" t="s">
        <v>1171</v>
      </c>
      <c r="S76" s="173" t="s">
        <v>1171</v>
      </c>
      <c r="T76" s="173" t="s">
        <v>1171</v>
      </c>
      <c r="U76" s="173" t="s">
        <v>1172</v>
      </c>
      <c r="V76" s="151" t="b">
        <v>1</v>
      </c>
      <c r="W76" s="188" t="str">
        <f t="shared" si="2"/>
        <v>NP - 62VOC</v>
      </c>
      <c r="X76" s="190">
        <f t="shared" si="3"/>
        <v>1134</v>
      </c>
      <c r="Y76" s="42"/>
      <c r="Z76" s="42"/>
      <c r="AA76" s="42"/>
    </row>
    <row r="77" spans="1:27" ht="24.2" x14ac:dyDescent="0.3">
      <c r="A77" s="51" t="str">
        <f>IF(ISNA(VLOOKUP(B77,Shortlist_xref!$A$5:$B$77,2,FALSE))=TRUE,"-",VLOOKUP(B77,Shortlist_xref!$A$5:$B$77,2,FALSE))</f>
        <v>-</v>
      </c>
      <c r="B77" s="3" t="s">
        <v>1072</v>
      </c>
      <c r="C77" s="5" t="s">
        <v>1073</v>
      </c>
      <c r="D77" s="5" t="s">
        <v>1074</v>
      </c>
      <c r="E77" s="5" t="s">
        <v>53</v>
      </c>
      <c r="F77" s="31">
        <v>0.1</v>
      </c>
      <c r="G77" s="32">
        <v>0.85</v>
      </c>
      <c r="H77" s="33">
        <v>1657</v>
      </c>
      <c r="I77" s="34">
        <v>1.2188265537659382E-3</v>
      </c>
      <c r="J77" s="9">
        <v>156.29140692445282</v>
      </c>
      <c r="K77" s="130" t="s">
        <v>1071</v>
      </c>
      <c r="L77" s="35" t="s">
        <v>613</v>
      </c>
      <c r="M77" s="195" t="s">
        <v>374</v>
      </c>
      <c r="N77" s="195" t="s">
        <v>381</v>
      </c>
      <c r="O77" s="195" t="s">
        <v>381</v>
      </c>
      <c r="P77" s="195" t="s">
        <v>381</v>
      </c>
      <c r="Q77" s="173" t="s">
        <v>1171</v>
      </c>
      <c r="R77" s="173" t="s">
        <v>1171</v>
      </c>
      <c r="S77" s="173" t="s">
        <v>1171</v>
      </c>
      <c r="T77" s="173" t="s">
        <v>1171</v>
      </c>
      <c r="U77" s="173" t="s">
        <v>1172</v>
      </c>
      <c r="V77" s="151" t="b">
        <v>1</v>
      </c>
      <c r="W77" s="188" t="str">
        <f t="shared" si="2"/>
        <v>NP - 63VOC</v>
      </c>
      <c r="X77" s="190">
        <f t="shared" si="3"/>
        <v>1657</v>
      </c>
      <c r="Y77" s="42"/>
      <c r="Z77" s="42"/>
      <c r="AA77" s="42"/>
    </row>
    <row r="78" spans="1:27" ht="24.2" x14ac:dyDescent="0.3">
      <c r="A78" s="51" t="str">
        <f>IF(ISNA(VLOOKUP(B78,Shortlist_xref!$A$5:$B$77,2,FALSE))=TRUE,"-",VLOOKUP(B78,Shortlist_xref!$A$5:$B$77,2,FALSE))</f>
        <v>-</v>
      </c>
      <c r="B78" s="3" t="s">
        <v>1075</v>
      </c>
      <c r="C78" s="5" t="s">
        <v>1073</v>
      </c>
      <c r="D78" s="5" t="s">
        <v>1076</v>
      </c>
      <c r="E78" s="5" t="s">
        <v>53</v>
      </c>
      <c r="F78" s="31">
        <v>0.1</v>
      </c>
      <c r="G78" s="32">
        <v>0.7</v>
      </c>
      <c r="H78" s="33" t="s">
        <v>37</v>
      </c>
      <c r="I78" s="34">
        <v>5.7554045241153505E-3</v>
      </c>
      <c r="J78" s="9">
        <v>607.78245841538774</v>
      </c>
      <c r="K78" s="35"/>
      <c r="L78" s="35" t="s">
        <v>1077</v>
      </c>
      <c r="M78" s="195" t="s">
        <v>1078</v>
      </c>
      <c r="N78" s="195" t="s">
        <v>381</v>
      </c>
      <c r="O78" s="195" t="s">
        <v>381</v>
      </c>
      <c r="P78" s="195" t="s">
        <v>381</v>
      </c>
      <c r="Q78" s="173" t="s">
        <v>1171</v>
      </c>
      <c r="R78" s="173" t="s">
        <v>1171</v>
      </c>
      <c r="S78" s="173" t="s">
        <v>1171</v>
      </c>
      <c r="T78" s="173" t="s">
        <v>1171</v>
      </c>
      <c r="U78" s="173" t="s">
        <v>1172</v>
      </c>
      <c r="V78" s="151" t="b">
        <v>1</v>
      </c>
      <c r="W78" s="188" t="str">
        <f t="shared" si="2"/>
        <v>NP - 64VOC</v>
      </c>
      <c r="X78" s="190" t="str">
        <f t="shared" si="3"/>
        <v>NA</v>
      </c>
      <c r="Y78" s="42"/>
      <c r="Z78" s="42"/>
      <c r="AA78" s="42"/>
    </row>
    <row r="79" spans="1:27" x14ac:dyDescent="0.3">
      <c r="A79" s="119" t="s">
        <v>121</v>
      </c>
      <c r="B79" s="26"/>
      <c r="C79" s="26"/>
      <c r="D79" s="26"/>
      <c r="E79" s="26"/>
      <c r="F79" s="27"/>
      <c r="G79" s="28"/>
      <c r="H79" s="37"/>
      <c r="I79" s="29"/>
      <c r="J79" s="28"/>
      <c r="K79" s="38"/>
      <c r="L79" s="38"/>
      <c r="M79" s="196"/>
      <c r="N79" s="196"/>
      <c r="O79" s="196"/>
      <c r="P79" s="196"/>
      <c r="V79" s="151" t="b">
        <v>1</v>
      </c>
      <c r="W79" s="188" t="str">
        <f t="shared" si="2"/>
        <v/>
      </c>
      <c r="X79" s="190">
        <f t="shared" si="3"/>
        <v>0</v>
      </c>
    </row>
    <row r="80" spans="1:27" x14ac:dyDescent="0.3">
      <c r="A80" s="51" t="str">
        <f>IF(ISNA(VLOOKUP(B80,Shortlist_xref!$A$5:$B$77,2,FALSE))=TRUE,"-",VLOOKUP(B80,Shortlist_xref!$A$5:$B$77,2,FALSE))</f>
        <v>-</v>
      </c>
      <c r="B80" s="3" t="s">
        <v>1079</v>
      </c>
      <c r="C80" s="5" t="s">
        <v>1080</v>
      </c>
      <c r="D80" s="5" t="s">
        <v>1081</v>
      </c>
      <c r="E80" s="5" t="s">
        <v>53</v>
      </c>
      <c r="F80" s="31">
        <v>0.1</v>
      </c>
      <c r="G80" s="32">
        <v>0.32258064516129031</v>
      </c>
      <c r="H80" s="33">
        <v>11000</v>
      </c>
      <c r="I80" s="34">
        <v>1.2902194840485891E-2</v>
      </c>
      <c r="J80" s="9">
        <v>627.87930637501097</v>
      </c>
      <c r="K80" s="35"/>
      <c r="L80" s="35" t="s">
        <v>934</v>
      </c>
      <c r="M80" s="195" t="s">
        <v>571</v>
      </c>
      <c r="N80" s="195" t="s">
        <v>381</v>
      </c>
      <c r="O80" s="195" t="s">
        <v>381</v>
      </c>
      <c r="P80" s="195" t="s">
        <v>381</v>
      </c>
      <c r="Q80" s="173" t="s">
        <v>1171</v>
      </c>
      <c r="R80" s="173" t="s">
        <v>1171</v>
      </c>
      <c r="S80" s="173" t="s">
        <v>1171</v>
      </c>
      <c r="T80" s="173" t="s">
        <v>1171</v>
      </c>
      <c r="U80" s="173" t="s">
        <v>1172</v>
      </c>
      <c r="V80" s="151" t="b">
        <v>1</v>
      </c>
      <c r="W80" s="188" t="str">
        <f t="shared" si="2"/>
        <v>NP - 65VOC</v>
      </c>
      <c r="X80" s="190">
        <f t="shared" si="3"/>
        <v>11000</v>
      </c>
      <c r="Y80" s="42"/>
      <c r="Z80" s="42"/>
      <c r="AA80" s="42"/>
    </row>
    <row r="81" spans="1:27" ht="21.9" x14ac:dyDescent="0.3">
      <c r="A81" s="51" t="str">
        <f>IF(ISNA(VLOOKUP(B81,Shortlist_xref!$A$5:$B$77,2,FALSE))=TRUE,"-",VLOOKUP(B81,Shortlist_xref!$A$5:$B$77,2,FALSE))</f>
        <v>-</v>
      </c>
      <c r="B81" s="3" t="s">
        <v>1082</v>
      </c>
      <c r="C81" s="5" t="s">
        <v>1083</v>
      </c>
      <c r="D81" s="5" t="s">
        <v>1084</v>
      </c>
      <c r="E81" s="5" t="s">
        <v>53</v>
      </c>
      <c r="F81" s="31" t="s">
        <v>37</v>
      </c>
      <c r="G81" s="32" t="s">
        <v>37</v>
      </c>
      <c r="H81" s="33" t="s">
        <v>37</v>
      </c>
      <c r="I81" s="34" t="s">
        <v>37</v>
      </c>
      <c r="J81" s="9" t="s">
        <v>37</v>
      </c>
      <c r="K81" s="35" t="s">
        <v>1085</v>
      </c>
      <c r="L81" s="35" t="s">
        <v>566</v>
      </c>
      <c r="M81" s="195" t="s">
        <v>1086</v>
      </c>
      <c r="N81" s="195" t="s">
        <v>381</v>
      </c>
      <c r="O81" s="195" t="s">
        <v>381</v>
      </c>
      <c r="P81" s="195" t="s">
        <v>381</v>
      </c>
      <c r="Q81" s="173" t="s">
        <v>1171</v>
      </c>
      <c r="R81" s="173" t="s">
        <v>1171</v>
      </c>
      <c r="S81" s="173" t="s">
        <v>1171</v>
      </c>
      <c r="T81" s="173" t="s">
        <v>1171</v>
      </c>
      <c r="U81" s="173" t="s">
        <v>1172</v>
      </c>
      <c r="V81" s="151" t="b">
        <v>1</v>
      </c>
      <c r="W81" s="188" t="str">
        <f t="shared" si="2"/>
        <v>NP - 66VOC</v>
      </c>
      <c r="X81" s="190" t="str">
        <f t="shared" si="3"/>
        <v>NA</v>
      </c>
      <c r="Y81" s="42"/>
      <c r="Z81" s="42"/>
      <c r="AA81" s="42"/>
    </row>
    <row r="82" spans="1:27" x14ac:dyDescent="0.3">
      <c r="A82" s="51" t="str">
        <f>IF(ISNA(VLOOKUP(B82,Shortlist_xref!$A$5:$B$77,2,FALSE))=TRUE,"-",VLOOKUP(B82,Shortlist_xref!$A$5:$B$77,2,FALSE))</f>
        <v>-</v>
      </c>
      <c r="B82" s="3" t="s">
        <v>1087</v>
      </c>
      <c r="C82" s="5" t="s">
        <v>1088</v>
      </c>
      <c r="D82" s="5" t="s">
        <v>1089</v>
      </c>
      <c r="E82" s="5" t="s">
        <v>53</v>
      </c>
      <c r="F82" s="31">
        <v>0.1</v>
      </c>
      <c r="G82" s="32">
        <v>0.32258064516129031</v>
      </c>
      <c r="H82" s="33" t="s">
        <v>37</v>
      </c>
      <c r="I82" s="34">
        <v>1.2902194840485891E-2</v>
      </c>
      <c r="J82" s="9">
        <v>627.87930637501097</v>
      </c>
      <c r="K82" s="35" t="s">
        <v>1090</v>
      </c>
      <c r="L82" s="35" t="s">
        <v>566</v>
      </c>
      <c r="M82" s="195" t="s">
        <v>1091</v>
      </c>
      <c r="N82" s="195" t="s">
        <v>381</v>
      </c>
      <c r="O82" s="195" t="s">
        <v>381</v>
      </c>
      <c r="P82" s="195" t="s">
        <v>381</v>
      </c>
      <c r="Q82" s="173" t="s">
        <v>1171</v>
      </c>
      <c r="R82" s="173" t="s">
        <v>1172</v>
      </c>
      <c r="S82" s="173" t="s">
        <v>1172</v>
      </c>
      <c r="T82" s="173" t="s">
        <v>1171</v>
      </c>
      <c r="U82" s="173" t="s">
        <v>1172</v>
      </c>
      <c r="V82" s="151" t="b">
        <v>1</v>
      </c>
      <c r="W82" s="188" t="str">
        <f t="shared" si="2"/>
        <v>NP - 67VOC</v>
      </c>
      <c r="X82" s="190" t="str">
        <f t="shared" si="3"/>
        <v>NA</v>
      </c>
      <c r="Y82" s="42"/>
      <c r="Z82" s="42"/>
      <c r="AA82" s="42"/>
    </row>
    <row r="83" spans="1:27" ht="18" customHeight="1" x14ac:dyDescent="0.3">
      <c r="A83" s="119" t="s">
        <v>122</v>
      </c>
      <c r="B83" s="26"/>
      <c r="C83" s="26"/>
      <c r="D83" s="26"/>
      <c r="E83" s="26"/>
      <c r="F83" s="27"/>
      <c r="G83" s="28"/>
      <c r="H83" s="37"/>
      <c r="I83" s="29"/>
      <c r="J83" s="28"/>
      <c r="K83" s="38"/>
      <c r="L83" s="38"/>
      <c r="M83" s="196"/>
      <c r="N83" s="196"/>
      <c r="O83" s="196"/>
      <c r="P83" s="196"/>
      <c r="V83" s="151" t="b">
        <v>1</v>
      </c>
      <c r="W83" s="188" t="str">
        <f t="shared" si="2"/>
        <v/>
      </c>
      <c r="X83" s="190">
        <f t="shared" si="3"/>
        <v>0</v>
      </c>
    </row>
    <row r="84" spans="1:27" ht="22.9" customHeight="1" x14ac:dyDescent="0.3">
      <c r="A84" s="51" t="str">
        <f>IF(ISNA(VLOOKUP(B84,Shortlist_xref!$A$5:$B$77,2,FALSE))=TRUE,"-",VLOOKUP(B84,Shortlist_xref!$A$5:$B$77,2,FALSE))</f>
        <v>-</v>
      </c>
      <c r="B84" s="3" t="s">
        <v>1092</v>
      </c>
      <c r="C84" s="5" t="s">
        <v>1093</v>
      </c>
      <c r="D84" s="5" t="s">
        <v>1094</v>
      </c>
      <c r="E84" s="5" t="s">
        <v>53</v>
      </c>
      <c r="F84" s="31" t="s">
        <v>37</v>
      </c>
      <c r="G84" s="32" t="s">
        <v>37</v>
      </c>
      <c r="H84" s="33" t="s">
        <v>37</v>
      </c>
      <c r="I84" s="34" t="s">
        <v>37</v>
      </c>
      <c r="J84" s="9" t="s">
        <v>37</v>
      </c>
      <c r="K84" s="35" t="s">
        <v>1095</v>
      </c>
      <c r="L84" s="35" t="s">
        <v>566</v>
      </c>
      <c r="M84" s="195" t="s">
        <v>1096</v>
      </c>
      <c r="N84" s="195" t="s">
        <v>381</v>
      </c>
      <c r="O84" s="195" t="s">
        <v>381</v>
      </c>
      <c r="P84" s="195" t="s">
        <v>381</v>
      </c>
      <c r="Q84" s="173" t="s">
        <v>1171</v>
      </c>
      <c r="R84" s="173" t="s">
        <v>1171</v>
      </c>
      <c r="S84" s="173" t="s">
        <v>1171</v>
      </c>
      <c r="T84" s="173" t="s">
        <v>1171</v>
      </c>
      <c r="U84" s="173" t="s">
        <v>1172</v>
      </c>
      <c r="V84" s="151" t="b">
        <v>1</v>
      </c>
      <c r="W84" s="188" t="str">
        <f t="shared" si="2"/>
        <v>NP - 68VOC</v>
      </c>
      <c r="X84" s="190" t="str">
        <f t="shared" si="3"/>
        <v>NA</v>
      </c>
      <c r="Y84" s="42"/>
      <c r="Z84" s="42"/>
      <c r="AA84" s="42"/>
    </row>
    <row r="85" spans="1:27" ht="22.9" customHeight="1" x14ac:dyDescent="0.3">
      <c r="A85" s="51" t="str">
        <f>IF(ISNA(VLOOKUP(B85,Shortlist_xref!$A$5:$B$77,2,FALSE))=TRUE,"-",VLOOKUP(B85,Shortlist_xref!$A$5:$B$77,2,FALSE))</f>
        <v>-</v>
      </c>
      <c r="B85" s="3" t="s">
        <v>1097</v>
      </c>
      <c r="C85" s="5" t="s">
        <v>1098</v>
      </c>
      <c r="D85" s="5" t="s">
        <v>1099</v>
      </c>
      <c r="E85" s="5" t="s">
        <v>53</v>
      </c>
      <c r="F85" s="31" t="s">
        <v>37</v>
      </c>
      <c r="G85" s="32" t="s">
        <v>37</v>
      </c>
      <c r="H85" s="33" t="s">
        <v>37</v>
      </c>
      <c r="I85" s="34" t="s">
        <v>37</v>
      </c>
      <c r="J85" s="9" t="s">
        <v>37</v>
      </c>
      <c r="K85" s="35" t="s">
        <v>1100</v>
      </c>
      <c r="L85" s="35" t="s">
        <v>566</v>
      </c>
      <c r="M85" s="195" t="s">
        <v>1101</v>
      </c>
      <c r="N85" s="195" t="s">
        <v>381</v>
      </c>
      <c r="O85" s="195" t="s">
        <v>381</v>
      </c>
      <c r="P85" s="195" t="s">
        <v>381</v>
      </c>
      <c r="Q85" s="173" t="s">
        <v>1171</v>
      </c>
      <c r="R85" s="173" t="s">
        <v>1171</v>
      </c>
      <c r="S85" s="173" t="s">
        <v>1171</v>
      </c>
      <c r="T85" s="173" t="s">
        <v>1171</v>
      </c>
      <c r="U85" s="173" t="s">
        <v>1172</v>
      </c>
      <c r="V85" s="151" t="b">
        <v>1</v>
      </c>
      <c r="W85" s="188" t="str">
        <f t="shared" si="2"/>
        <v>NP - 69VOC</v>
      </c>
      <c r="X85" s="190" t="str">
        <f t="shared" si="3"/>
        <v>NA</v>
      </c>
      <c r="Y85" s="42"/>
      <c r="Z85" s="42"/>
      <c r="AA85" s="42"/>
    </row>
    <row r="86" spans="1:27" ht="22.9" customHeight="1" x14ac:dyDescent="0.3">
      <c r="A86" s="51" t="str">
        <f>IF(ISNA(VLOOKUP(B86,Shortlist_xref!$A$5:$B$77,2,FALSE))=TRUE,"-",VLOOKUP(B86,Shortlist_xref!$A$5:$B$77,2,FALSE))</f>
        <v>-</v>
      </c>
      <c r="B86" s="3" t="s">
        <v>1102</v>
      </c>
      <c r="C86" s="5" t="s">
        <v>1103</v>
      </c>
      <c r="D86" s="5" t="s">
        <v>1076</v>
      </c>
      <c r="E86" s="5" t="s">
        <v>53</v>
      </c>
      <c r="F86" s="31">
        <v>0.1</v>
      </c>
      <c r="G86" s="32">
        <v>0.7</v>
      </c>
      <c r="H86" s="33" t="s">
        <v>37</v>
      </c>
      <c r="I86" s="34">
        <v>5.7554045241153505E-3</v>
      </c>
      <c r="J86" s="9">
        <v>607.78245841538774</v>
      </c>
      <c r="K86" s="35"/>
      <c r="L86" s="35" t="s">
        <v>1077</v>
      </c>
      <c r="M86" s="195" t="s">
        <v>1078</v>
      </c>
      <c r="N86" s="195" t="s">
        <v>381</v>
      </c>
      <c r="O86" s="195" t="s">
        <v>381</v>
      </c>
      <c r="P86" s="195" t="s">
        <v>381</v>
      </c>
      <c r="Q86" s="173" t="s">
        <v>1171</v>
      </c>
      <c r="R86" s="173" t="s">
        <v>1171</v>
      </c>
      <c r="S86" s="173" t="s">
        <v>1171</v>
      </c>
      <c r="T86" s="173" t="s">
        <v>1171</v>
      </c>
      <c r="U86" s="173" t="s">
        <v>1172</v>
      </c>
      <c r="V86" s="151" t="b">
        <v>1</v>
      </c>
      <c r="W86" s="188" t="str">
        <f t="shared" si="2"/>
        <v>NP - 70VOC</v>
      </c>
      <c r="X86" s="190" t="str">
        <f t="shared" si="3"/>
        <v>NA</v>
      </c>
      <c r="Y86" s="42"/>
      <c r="Z86" s="42"/>
      <c r="AA86" s="42"/>
    </row>
    <row r="87" spans="1:27" ht="22.9" customHeight="1" x14ac:dyDescent="0.3">
      <c r="A87" s="51" t="str">
        <f>IF(ISNA(VLOOKUP(B87,Shortlist_xref!$A$5:$B$77,2,FALSE))=TRUE,"-",VLOOKUP(B87,Shortlist_xref!$A$5:$B$77,2,FALSE))</f>
        <v>-</v>
      </c>
      <c r="B87" s="3" t="s">
        <v>1104</v>
      </c>
      <c r="C87" s="5" t="s">
        <v>1105</v>
      </c>
      <c r="D87" s="5" t="s">
        <v>1106</v>
      </c>
      <c r="E87" s="5" t="s">
        <v>53</v>
      </c>
      <c r="F87" s="31" t="s">
        <v>37</v>
      </c>
      <c r="G87" s="32" t="s">
        <v>37</v>
      </c>
      <c r="H87" s="33" t="s">
        <v>37</v>
      </c>
      <c r="I87" s="34">
        <v>2.8123122795464207E-3</v>
      </c>
      <c r="J87" s="9" t="s">
        <v>37</v>
      </c>
      <c r="K87" s="35" t="s">
        <v>1107</v>
      </c>
      <c r="L87" s="35" t="s">
        <v>566</v>
      </c>
      <c r="M87" s="195" t="s">
        <v>1108</v>
      </c>
      <c r="N87" s="195" t="s">
        <v>381</v>
      </c>
      <c r="O87" s="195" t="s">
        <v>381</v>
      </c>
      <c r="P87" s="195" t="s">
        <v>381</v>
      </c>
      <c r="Q87" s="173" t="s">
        <v>1171</v>
      </c>
      <c r="R87" s="173" t="s">
        <v>1171</v>
      </c>
      <c r="S87" s="173" t="s">
        <v>1171</v>
      </c>
      <c r="T87" s="173" t="s">
        <v>1171</v>
      </c>
      <c r="U87" s="173" t="s">
        <v>1172</v>
      </c>
      <c r="V87" s="151" t="b">
        <v>1</v>
      </c>
      <c r="W87" s="188" t="str">
        <f t="shared" si="2"/>
        <v>NP - 71VOC</v>
      </c>
      <c r="X87" s="190" t="str">
        <f t="shared" si="3"/>
        <v>NA</v>
      </c>
      <c r="Y87" s="42"/>
      <c r="Z87" s="42"/>
      <c r="AA87" s="42"/>
    </row>
    <row r="88" spans="1:27" ht="22.9" customHeight="1" x14ac:dyDescent="0.3">
      <c r="A88" s="51" t="str">
        <f>IF(ISNA(VLOOKUP(B88,Shortlist_xref!$A$5:$B$77,2,FALSE))=TRUE,"-",VLOOKUP(B88,Shortlist_xref!$A$5:$B$77,2,FALSE))</f>
        <v>C-E</v>
      </c>
      <c r="B88" s="3" t="s">
        <v>123</v>
      </c>
      <c r="C88" s="5" t="s">
        <v>51</v>
      </c>
      <c r="D88" s="5" t="s">
        <v>52</v>
      </c>
      <c r="E88" s="5" t="s">
        <v>53</v>
      </c>
      <c r="F88" s="31">
        <v>0.1</v>
      </c>
      <c r="G88" s="32">
        <v>0.78</v>
      </c>
      <c r="H88" s="33">
        <v>1290</v>
      </c>
      <c r="I88" s="34">
        <v>1.1887699413062336E-3</v>
      </c>
      <c r="J88" s="9">
        <v>139.88356291260001</v>
      </c>
      <c r="K88" s="35" t="s">
        <v>946</v>
      </c>
      <c r="L88" s="35" t="s">
        <v>613</v>
      </c>
      <c r="M88" s="195" t="s">
        <v>614</v>
      </c>
      <c r="N88" s="195" t="s">
        <v>381</v>
      </c>
      <c r="O88" s="195" t="s">
        <v>381</v>
      </c>
      <c r="P88" s="195" t="s">
        <v>381</v>
      </c>
      <c r="Q88" s="173" t="s">
        <v>1171</v>
      </c>
      <c r="R88" s="173" t="s">
        <v>1171</v>
      </c>
      <c r="S88" s="173" t="s">
        <v>1171</v>
      </c>
      <c r="T88" s="173" t="s">
        <v>1171</v>
      </c>
      <c r="U88" s="173" t="s">
        <v>1172</v>
      </c>
      <c r="V88" s="151" t="b">
        <v>1</v>
      </c>
      <c r="W88" s="188" t="str">
        <f t="shared" si="2"/>
        <v>NP - 72VOC</v>
      </c>
      <c r="X88" s="190">
        <f t="shared" si="3"/>
        <v>1290</v>
      </c>
      <c r="Y88" s="42"/>
      <c r="Z88" s="42"/>
      <c r="AA88" s="42"/>
    </row>
    <row r="89" spans="1:27" ht="22.9" customHeight="1" x14ac:dyDescent="0.3">
      <c r="A89" s="51" t="str">
        <f>IF(ISNA(VLOOKUP(B89,Shortlist_xref!$A$5:$B$77,2,FALSE))=TRUE,"-",VLOOKUP(B89,Shortlist_xref!$A$5:$B$77,2,FALSE))</f>
        <v>-</v>
      </c>
      <c r="B89" s="3" t="s">
        <v>1109</v>
      </c>
      <c r="C89" s="5" t="s">
        <v>1110</v>
      </c>
      <c r="D89" s="5" t="s">
        <v>1111</v>
      </c>
      <c r="E89" s="5" t="s">
        <v>53</v>
      </c>
      <c r="F89" s="31">
        <v>0.1</v>
      </c>
      <c r="G89" s="32">
        <v>0.73</v>
      </c>
      <c r="H89" s="33">
        <v>1736</v>
      </c>
      <c r="I89" s="34">
        <v>1.9984889891506204E-2</v>
      </c>
      <c r="J89" s="9">
        <v>2200.8927893585519</v>
      </c>
      <c r="K89" s="35"/>
      <c r="L89" s="35" t="s">
        <v>613</v>
      </c>
      <c r="M89" s="195" t="s">
        <v>614</v>
      </c>
      <c r="N89" s="195" t="s">
        <v>381</v>
      </c>
      <c r="O89" s="195" t="s">
        <v>381</v>
      </c>
      <c r="P89" s="195" t="s">
        <v>381</v>
      </c>
      <c r="Q89" s="173" t="s">
        <v>1171</v>
      </c>
      <c r="R89" s="173" t="s">
        <v>1171</v>
      </c>
      <c r="S89" s="173" t="s">
        <v>1171</v>
      </c>
      <c r="T89" s="173" t="s">
        <v>1171</v>
      </c>
      <c r="U89" s="173" t="s">
        <v>1172</v>
      </c>
      <c r="V89" s="151" t="b">
        <v>1</v>
      </c>
      <c r="W89" s="188" t="str">
        <f t="shared" si="2"/>
        <v>NP - 73VOC</v>
      </c>
      <c r="X89" s="190">
        <f t="shared" si="3"/>
        <v>1736</v>
      </c>
      <c r="Y89" s="42"/>
      <c r="Z89" s="42"/>
      <c r="AA89" s="42"/>
    </row>
    <row r="90" spans="1:27" ht="22.9" customHeight="1" x14ac:dyDescent="0.3">
      <c r="A90" s="51" t="str">
        <f>IF(ISNA(VLOOKUP(B90,Shortlist_xref!$A$5:$B$77,2,FALSE))=TRUE,"-",VLOOKUP(B90,Shortlist_xref!$A$5:$B$77,2,FALSE))</f>
        <v>-</v>
      </c>
      <c r="B90" s="3" t="s">
        <v>1112</v>
      </c>
      <c r="C90" s="5" t="s">
        <v>1113</v>
      </c>
      <c r="D90" s="5" t="s">
        <v>1114</v>
      </c>
      <c r="E90" s="5" t="s">
        <v>53</v>
      </c>
      <c r="F90" s="31">
        <v>0.1</v>
      </c>
      <c r="G90" s="32">
        <v>0.95</v>
      </c>
      <c r="H90" s="33" t="s">
        <v>37</v>
      </c>
      <c r="I90" s="34">
        <v>1.9984889891506204E-2</v>
      </c>
      <c r="J90" s="9">
        <v>2864.1755477953757</v>
      </c>
      <c r="K90" s="35" t="s">
        <v>1115</v>
      </c>
      <c r="L90" s="35" t="s">
        <v>566</v>
      </c>
      <c r="M90" s="195" t="s">
        <v>1116</v>
      </c>
      <c r="N90" s="195" t="s">
        <v>381</v>
      </c>
      <c r="O90" s="195" t="s">
        <v>381</v>
      </c>
      <c r="P90" s="195" t="s">
        <v>381</v>
      </c>
      <c r="Q90" s="173" t="s">
        <v>1171</v>
      </c>
      <c r="R90" s="173" t="s">
        <v>1172</v>
      </c>
      <c r="S90" s="173" t="s">
        <v>1172</v>
      </c>
      <c r="T90" s="173" t="s">
        <v>1171</v>
      </c>
      <c r="U90" s="173" t="s">
        <v>1172</v>
      </c>
      <c r="V90" s="151" t="b">
        <v>1</v>
      </c>
      <c r="W90" s="188" t="str">
        <f t="shared" si="2"/>
        <v>NP - 74VOC</v>
      </c>
      <c r="X90" s="190" t="str">
        <f t="shared" si="3"/>
        <v>NA</v>
      </c>
      <c r="Y90" s="42"/>
      <c r="Z90" s="42"/>
      <c r="AA90" s="42"/>
    </row>
    <row r="91" spans="1:27" ht="22.9" customHeight="1" x14ac:dyDescent="0.3">
      <c r="A91" s="51" t="str">
        <f>IF(ISNA(VLOOKUP(B91,Shortlist_xref!$A$5:$B$77,2,FALSE))=TRUE,"-",VLOOKUP(B91,Shortlist_xref!$A$5:$B$77,2,FALSE))</f>
        <v>-</v>
      </c>
      <c r="B91" s="3" t="s">
        <v>1117</v>
      </c>
      <c r="C91" s="5" t="s">
        <v>1113</v>
      </c>
      <c r="D91" s="5" t="s">
        <v>1118</v>
      </c>
      <c r="E91" s="5" t="s">
        <v>53</v>
      </c>
      <c r="F91" s="31">
        <v>0.1</v>
      </c>
      <c r="G91" s="32">
        <v>0.95</v>
      </c>
      <c r="H91" s="33" t="s">
        <v>37</v>
      </c>
      <c r="I91" s="34">
        <v>1.9984889891506204E-2</v>
      </c>
      <c r="J91" s="9">
        <v>2864.1755477953757</v>
      </c>
      <c r="K91" s="35" t="s">
        <v>1115</v>
      </c>
      <c r="L91" s="35" t="s">
        <v>961</v>
      </c>
      <c r="M91" s="195" t="s">
        <v>1119</v>
      </c>
      <c r="N91" s="195" t="s">
        <v>381</v>
      </c>
      <c r="O91" s="195" t="s">
        <v>381</v>
      </c>
      <c r="P91" s="195" t="s">
        <v>381</v>
      </c>
      <c r="Q91" s="173" t="s">
        <v>1171</v>
      </c>
      <c r="R91" s="173" t="s">
        <v>1172</v>
      </c>
      <c r="S91" s="173" t="s">
        <v>1172</v>
      </c>
      <c r="T91" s="173" t="s">
        <v>1171</v>
      </c>
      <c r="U91" s="173" t="s">
        <v>1172</v>
      </c>
      <c r="V91" s="151" t="b">
        <v>1</v>
      </c>
      <c r="W91" s="188" t="str">
        <f t="shared" si="2"/>
        <v>NP - 75VOC</v>
      </c>
      <c r="X91" s="190" t="str">
        <f t="shared" si="3"/>
        <v>NA</v>
      </c>
      <c r="Y91" s="42"/>
      <c r="Z91" s="42"/>
      <c r="AA91" s="42"/>
    </row>
    <row r="92" spans="1:27" x14ac:dyDescent="0.3">
      <c r="A92" s="119" t="s">
        <v>124</v>
      </c>
      <c r="B92" s="26"/>
      <c r="C92" s="26"/>
      <c r="D92" s="26"/>
      <c r="E92" s="26"/>
      <c r="F92" s="27"/>
      <c r="G92" s="28"/>
      <c r="H92" s="37"/>
      <c r="I92" s="29"/>
      <c r="J92" s="28"/>
      <c r="K92" s="38"/>
      <c r="L92" s="38"/>
      <c r="M92" s="196"/>
      <c r="N92" s="196"/>
      <c r="O92" s="196"/>
      <c r="P92" s="196"/>
      <c r="V92" s="151" t="b">
        <v>1</v>
      </c>
      <c r="W92" s="188" t="str">
        <f t="shared" si="2"/>
        <v/>
      </c>
      <c r="X92" s="190">
        <f t="shared" si="3"/>
        <v>0</v>
      </c>
    </row>
    <row r="93" spans="1:27" x14ac:dyDescent="0.3">
      <c r="A93" s="51" t="str">
        <f>IF(ISNA(VLOOKUP(B93,Shortlist_xref!$A$5:$B$77,2,FALSE))=TRUE,"-",VLOOKUP(B93,Shortlist_xref!$A$5:$B$77,2,FALSE))</f>
        <v>-</v>
      </c>
      <c r="B93" s="3" t="s">
        <v>1120</v>
      </c>
      <c r="C93" s="5" t="s">
        <v>1121</v>
      </c>
      <c r="D93" s="5" t="s">
        <v>1122</v>
      </c>
      <c r="E93" s="5" t="s">
        <v>53</v>
      </c>
      <c r="F93" s="31">
        <v>0.1</v>
      </c>
      <c r="G93" s="32">
        <v>0.4</v>
      </c>
      <c r="H93" s="33" t="s">
        <v>37</v>
      </c>
      <c r="I93" s="34">
        <v>7.7323351739118909E-3</v>
      </c>
      <c r="J93" s="9">
        <v>466.60021020000005</v>
      </c>
      <c r="K93" s="35"/>
      <c r="L93" s="35" t="s">
        <v>566</v>
      </c>
      <c r="M93" s="195" t="s">
        <v>1123</v>
      </c>
      <c r="N93" s="195" t="s">
        <v>381</v>
      </c>
      <c r="O93" s="195" t="s">
        <v>381</v>
      </c>
      <c r="P93" s="195" t="s">
        <v>381</v>
      </c>
      <c r="Q93" s="173" t="s">
        <v>1171</v>
      </c>
      <c r="R93" s="173" t="s">
        <v>1172</v>
      </c>
      <c r="S93" s="173" t="s">
        <v>1172</v>
      </c>
      <c r="T93" s="173" t="s">
        <v>1171</v>
      </c>
      <c r="U93" s="173" t="s">
        <v>1171</v>
      </c>
      <c r="V93" s="151" t="b">
        <v>1</v>
      </c>
      <c r="W93" s="188" t="str">
        <f t="shared" si="2"/>
        <v>NP - 76VOC</v>
      </c>
      <c r="X93" s="190" t="str">
        <f t="shared" si="3"/>
        <v>NA</v>
      </c>
      <c r="Y93" s="42"/>
      <c r="Z93" s="42"/>
      <c r="AA93" s="42"/>
    </row>
    <row r="94" spans="1:27" x14ac:dyDescent="0.3">
      <c r="A94" s="51" t="str">
        <f>IF(ISNA(VLOOKUP(B94,Shortlist_xref!$A$5:$B$77,2,FALSE))=TRUE,"-",VLOOKUP(B94,Shortlist_xref!$A$5:$B$77,2,FALSE))</f>
        <v>C-E</v>
      </c>
      <c r="B94" s="3" t="s">
        <v>125</v>
      </c>
      <c r="C94" s="5" t="s">
        <v>126</v>
      </c>
      <c r="D94" s="5" t="s">
        <v>112</v>
      </c>
      <c r="E94" s="5" t="s">
        <v>53</v>
      </c>
      <c r="F94" s="31">
        <v>0.1</v>
      </c>
      <c r="G94" s="32">
        <v>1</v>
      </c>
      <c r="H94" s="33">
        <v>24</v>
      </c>
      <c r="I94" s="34">
        <v>3.7366587488215659E-3</v>
      </c>
      <c r="J94" s="9">
        <v>563.71255203999999</v>
      </c>
      <c r="K94" s="35"/>
      <c r="L94" s="35" t="s">
        <v>613</v>
      </c>
      <c r="M94" s="195" t="s">
        <v>614</v>
      </c>
      <c r="N94" s="195" t="s">
        <v>381</v>
      </c>
      <c r="O94" s="195" t="s">
        <v>381</v>
      </c>
      <c r="P94" s="195" t="s">
        <v>381</v>
      </c>
      <c r="Q94" s="173" t="s">
        <v>1171</v>
      </c>
      <c r="R94" s="173" t="s">
        <v>1171</v>
      </c>
      <c r="S94" s="173" t="s">
        <v>1171</v>
      </c>
      <c r="T94" s="173" t="s">
        <v>1171</v>
      </c>
      <c r="U94" s="173" t="s">
        <v>1171</v>
      </c>
      <c r="V94" s="151" t="b">
        <v>1</v>
      </c>
      <c r="W94" s="188" t="str">
        <f t="shared" si="2"/>
        <v>NP - 77VOC</v>
      </c>
      <c r="X94" s="190">
        <f t="shared" si="3"/>
        <v>24</v>
      </c>
      <c r="Y94" s="42"/>
      <c r="Z94" s="42"/>
      <c r="AA94" s="42"/>
    </row>
    <row r="95" spans="1:27" ht="24.2" x14ac:dyDescent="0.3">
      <c r="A95" s="51" t="str">
        <f>IF(ISNA(VLOOKUP(B95,Shortlist_xref!$A$5:$B$77,2,FALSE))=TRUE,"-",VLOOKUP(B95,Shortlist_xref!$A$5:$B$77,2,FALSE))</f>
        <v>C-E</v>
      </c>
      <c r="B95" s="3" t="s">
        <v>127</v>
      </c>
      <c r="C95" s="5" t="s">
        <v>128</v>
      </c>
      <c r="D95" s="5" t="s">
        <v>129</v>
      </c>
      <c r="E95" s="5" t="s">
        <v>53</v>
      </c>
      <c r="F95" s="31">
        <v>0.1</v>
      </c>
      <c r="G95" s="32">
        <v>0.36400817995910023</v>
      </c>
      <c r="H95" s="33">
        <v>1350</v>
      </c>
      <c r="I95" s="34">
        <v>5.4656836017417899E-3</v>
      </c>
      <c r="J95" s="9">
        <v>300.14416057259717</v>
      </c>
      <c r="K95" s="35"/>
      <c r="L95" s="35" t="s">
        <v>934</v>
      </c>
      <c r="M95" s="195" t="s">
        <v>571</v>
      </c>
      <c r="N95" s="195" t="s">
        <v>381</v>
      </c>
      <c r="O95" s="195" t="s">
        <v>381</v>
      </c>
      <c r="P95" s="195" t="s">
        <v>381</v>
      </c>
      <c r="Q95" s="173" t="s">
        <v>1171</v>
      </c>
      <c r="R95" s="173" t="s">
        <v>1171</v>
      </c>
      <c r="S95" s="173" t="s">
        <v>1171</v>
      </c>
      <c r="T95" s="173" t="s">
        <v>1171</v>
      </c>
      <c r="U95" s="173" t="s">
        <v>1171</v>
      </c>
      <c r="V95" s="151" t="b">
        <v>1</v>
      </c>
      <c r="W95" s="188" t="str">
        <f t="shared" si="2"/>
        <v>NP - 78VOC</v>
      </c>
      <c r="X95" s="190">
        <f t="shared" si="3"/>
        <v>1350</v>
      </c>
      <c r="Y95" s="42"/>
      <c r="Z95" s="42"/>
      <c r="AA95" s="42"/>
    </row>
    <row r="96" spans="1:27" x14ac:dyDescent="0.3">
      <c r="A96" s="51" t="str">
        <f>IF(ISNA(VLOOKUP(B96,Shortlist_xref!$A$5:$B$77,2,FALSE))=TRUE,"-",VLOOKUP(B96,Shortlist_xref!$A$5:$B$77,2,FALSE))</f>
        <v>-</v>
      </c>
      <c r="B96" s="3" t="s">
        <v>1124</v>
      </c>
      <c r="C96" s="5" t="s">
        <v>1125</v>
      </c>
      <c r="D96" s="5" t="s">
        <v>1126</v>
      </c>
      <c r="E96" s="5" t="s">
        <v>53</v>
      </c>
      <c r="F96" s="31">
        <v>0.1</v>
      </c>
      <c r="G96" s="32">
        <v>0.7</v>
      </c>
      <c r="H96" s="33" t="s">
        <v>37</v>
      </c>
      <c r="I96" s="34">
        <v>5.4656836017417899E-3</v>
      </c>
      <c r="J96" s="9">
        <v>577.18733799999995</v>
      </c>
      <c r="K96" s="35"/>
      <c r="L96" s="35" t="s">
        <v>566</v>
      </c>
      <c r="M96" s="195" t="s">
        <v>1127</v>
      </c>
      <c r="N96" s="195" t="s">
        <v>381</v>
      </c>
      <c r="O96" s="195" t="s">
        <v>381</v>
      </c>
      <c r="P96" s="195" t="s">
        <v>381</v>
      </c>
      <c r="Q96" s="173" t="s">
        <v>1171</v>
      </c>
      <c r="R96" s="173" t="s">
        <v>1171</v>
      </c>
      <c r="S96" s="173" t="s">
        <v>1171</v>
      </c>
      <c r="T96" s="173" t="s">
        <v>1171</v>
      </c>
      <c r="U96" s="173" t="s">
        <v>1171</v>
      </c>
      <c r="V96" s="151" t="b">
        <v>1</v>
      </c>
      <c r="W96" s="188" t="str">
        <f t="shared" si="2"/>
        <v>NP - 79VOC</v>
      </c>
      <c r="X96" s="190" t="str">
        <f t="shared" si="3"/>
        <v>NA</v>
      </c>
      <c r="Y96" s="42"/>
      <c r="Z96" s="42"/>
      <c r="AA96" s="42"/>
    </row>
    <row r="97" spans="1:28" ht="21.9" x14ac:dyDescent="0.3">
      <c r="A97" s="51" t="str">
        <f>IF(ISNA(VLOOKUP(B97,Shortlist_xref!$A$5:$B$77,2,FALSE))=TRUE,"-",VLOOKUP(B97,Shortlist_xref!$A$5:$B$77,2,FALSE))</f>
        <v>-</v>
      </c>
      <c r="B97" s="3" t="s">
        <v>1128</v>
      </c>
      <c r="C97" s="5" t="s">
        <v>1129</v>
      </c>
      <c r="D97" s="5" t="s">
        <v>1130</v>
      </c>
      <c r="E97" s="5" t="s">
        <v>12</v>
      </c>
      <c r="F97" s="31" t="s">
        <v>37</v>
      </c>
      <c r="G97" s="32" t="s">
        <v>37</v>
      </c>
      <c r="H97" s="33" t="s">
        <v>37</v>
      </c>
      <c r="I97" s="34" t="s">
        <v>37</v>
      </c>
      <c r="J97" s="9" t="s">
        <v>37</v>
      </c>
      <c r="K97" s="35" t="s">
        <v>1131</v>
      </c>
      <c r="L97" s="35" t="s">
        <v>1132</v>
      </c>
      <c r="M97" s="195" t="s">
        <v>1133</v>
      </c>
      <c r="N97" s="195" t="s">
        <v>381</v>
      </c>
      <c r="O97" s="195" t="s">
        <v>381</v>
      </c>
      <c r="P97" s="195" t="s">
        <v>381</v>
      </c>
      <c r="Q97" s="173" t="s">
        <v>1171</v>
      </c>
      <c r="R97" s="173" t="s">
        <v>1171</v>
      </c>
      <c r="S97" s="173" t="s">
        <v>1171</v>
      </c>
      <c r="T97" s="173" t="s">
        <v>1171</v>
      </c>
      <c r="U97" s="173" t="s">
        <v>1172</v>
      </c>
      <c r="V97" s="151" t="b">
        <v>1</v>
      </c>
      <c r="W97" s="188" t="str">
        <f t="shared" si="2"/>
        <v>NP - 80NOx</v>
      </c>
      <c r="X97" s="190" t="str">
        <f t="shared" si="3"/>
        <v>NA</v>
      </c>
      <c r="Y97" s="42"/>
      <c r="Z97" s="42"/>
      <c r="AA97" s="42"/>
    </row>
    <row r="98" spans="1:28" x14ac:dyDescent="0.3">
      <c r="A98" s="51" t="str">
        <f>IF(ISNA(VLOOKUP(B98,Shortlist_xref!$A$5:$B$77,2,FALSE))=TRUE,"-",VLOOKUP(B98,Shortlist_xref!$A$5:$B$77,2,FALSE))</f>
        <v>C-E</v>
      </c>
      <c r="B98" s="3" t="s">
        <v>130</v>
      </c>
      <c r="C98" s="5" t="s">
        <v>131</v>
      </c>
      <c r="D98" s="5" t="s">
        <v>132</v>
      </c>
      <c r="E98" s="5" t="s">
        <v>53</v>
      </c>
      <c r="F98" s="31">
        <v>0.1</v>
      </c>
      <c r="G98" s="32">
        <v>0.7</v>
      </c>
      <c r="H98" s="33">
        <v>1089</v>
      </c>
      <c r="I98" s="34">
        <v>4.7250412993216214E-4</v>
      </c>
      <c r="J98" s="9">
        <v>49.897400000000005</v>
      </c>
      <c r="K98" s="35"/>
      <c r="L98" s="35" t="s">
        <v>613</v>
      </c>
      <c r="M98" s="195" t="s">
        <v>614</v>
      </c>
      <c r="N98" s="195" t="s">
        <v>381</v>
      </c>
      <c r="O98" s="195" t="s">
        <v>381</v>
      </c>
      <c r="P98" s="195" t="s">
        <v>381</v>
      </c>
      <c r="Q98" s="173" t="s">
        <v>1171</v>
      </c>
      <c r="R98" s="173" t="s">
        <v>1171</v>
      </c>
      <c r="S98" s="173" t="s">
        <v>1171</v>
      </c>
      <c r="T98" s="173" t="s">
        <v>1171</v>
      </c>
      <c r="U98" s="173" t="s">
        <v>1172</v>
      </c>
      <c r="V98" s="151" t="b">
        <v>1</v>
      </c>
      <c r="W98" s="188" t="str">
        <f t="shared" si="2"/>
        <v>NP - 81VOC</v>
      </c>
      <c r="X98" s="190">
        <f t="shared" si="3"/>
        <v>1089</v>
      </c>
      <c r="Y98" s="42"/>
      <c r="Z98" s="42"/>
      <c r="AA98" s="42"/>
    </row>
    <row r="99" spans="1:28" ht="24.2" x14ac:dyDescent="0.3">
      <c r="A99" s="51" t="str">
        <f>IF(ISNA(VLOOKUP(B99,Shortlist_xref!$A$5:$B$77,2,FALSE))=TRUE,"-",VLOOKUP(B99,Shortlist_xref!$A$5:$B$77,2,FALSE))</f>
        <v>-</v>
      </c>
      <c r="B99" s="3" t="s">
        <v>1134</v>
      </c>
      <c r="C99" s="5" t="s">
        <v>133</v>
      </c>
      <c r="D99" s="5" t="s">
        <v>1135</v>
      </c>
      <c r="E99" s="5" t="s">
        <v>12</v>
      </c>
      <c r="F99" s="31">
        <v>0.1</v>
      </c>
      <c r="G99" s="32">
        <v>0.1092436974789916</v>
      </c>
      <c r="H99" s="33" t="s">
        <v>37</v>
      </c>
      <c r="I99" s="34">
        <v>9.147487673238637E-2</v>
      </c>
      <c r="J99" s="9">
        <v>1071.5199696759603</v>
      </c>
      <c r="K99" s="35"/>
      <c r="L99" s="35" t="s">
        <v>934</v>
      </c>
      <c r="M99" s="195" t="s">
        <v>571</v>
      </c>
      <c r="N99" s="195" t="s">
        <v>381</v>
      </c>
      <c r="O99" s="195" t="s">
        <v>381</v>
      </c>
      <c r="P99" s="195" t="s">
        <v>381</v>
      </c>
      <c r="Q99" s="173" t="s">
        <v>1171</v>
      </c>
      <c r="R99" s="173" t="s">
        <v>1171</v>
      </c>
      <c r="S99" s="173" t="s">
        <v>1171</v>
      </c>
      <c r="T99" s="173" t="s">
        <v>1171</v>
      </c>
      <c r="U99" s="173" t="s">
        <v>1172</v>
      </c>
      <c r="V99" s="151" t="b">
        <v>1</v>
      </c>
      <c r="W99" s="188" t="str">
        <f t="shared" si="2"/>
        <v>NP - 82NOx</v>
      </c>
      <c r="X99" s="190" t="str">
        <f t="shared" si="3"/>
        <v>NA</v>
      </c>
      <c r="Y99" s="42"/>
      <c r="Z99" s="42"/>
      <c r="AA99" s="42"/>
    </row>
    <row r="100" spans="1:28" ht="24.2" x14ac:dyDescent="0.3">
      <c r="A100" s="51" t="str">
        <f>IF(ISNA(VLOOKUP(B100,Shortlist_xref!$A$5:$B$77,2,FALSE))=TRUE,"-",VLOOKUP(B100,Shortlist_xref!$A$5:$B$77,2,FALSE))</f>
        <v>-</v>
      </c>
      <c r="B100" s="3" t="s">
        <v>1134</v>
      </c>
      <c r="C100" s="5" t="s">
        <v>133</v>
      </c>
      <c r="D100" s="5" t="s">
        <v>1135</v>
      </c>
      <c r="E100" s="5" t="s">
        <v>53</v>
      </c>
      <c r="F100" s="31">
        <v>0.1</v>
      </c>
      <c r="G100" s="32">
        <v>0.11235955056179775</v>
      </c>
      <c r="H100" s="33" t="s">
        <v>37</v>
      </c>
      <c r="I100" s="34">
        <v>8.2568864098573544E-2</v>
      </c>
      <c r="J100" s="9">
        <v>1399.589162789531</v>
      </c>
      <c r="K100" s="35"/>
      <c r="L100" s="35" t="s">
        <v>934</v>
      </c>
      <c r="M100" s="195" t="s">
        <v>571</v>
      </c>
      <c r="N100" s="195" t="s">
        <v>381</v>
      </c>
      <c r="O100" s="195" t="s">
        <v>381</v>
      </c>
      <c r="P100" s="195" t="s">
        <v>381</v>
      </c>
      <c r="Q100" s="173" t="s">
        <v>1171</v>
      </c>
      <c r="R100" s="173" t="s">
        <v>1171</v>
      </c>
      <c r="S100" s="173" t="s">
        <v>1171</v>
      </c>
      <c r="T100" s="173" t="s">
        <v>1171</v>
      </c>
      <c r="U100" s="173" t="s">
        <v>1172</v>
      </c>
      <c r="V100" s="151" t="b">
        <v>1</v>
      </c>
      <c r="W100" s="188" t="str">
        <f t="shared" si="2"/>
        <v>NP - 82VOC</v>
      </c>
      <c r="X100" s="190" t="str">
        <f t="shared" si="3"/>
        <v>NA</v>
      </c>
      <c r="Y100" s="42"/>
      <c r="Z100" s="42"/>
      <c r="AA100" s="42"/>
    </row>
    <row r="101" spans="1:28" x14ac:dyDescent="0.3">
      <c r="A101" s="51" t="str">
        <f>IF(ISNA(VLOOKUP(B101,Shortlist_xref!$A$5:$B$77,2,FALSE))=TRUE,"-",VLOOKUP(B101,Shortlist_xref!$A$5:$B$77,2,FALSE))</f>
        <v>EmissRed</v>
      </c>
      <c r="B101" s="3" t="s">
        <v>134</v>
      </c>
      <c r="C101" s="5" t="s">
        <v>133</v>
      </c>
      <c r="D101" s="5" t="s">
        <v>135</v>
      </c>
      <c r="E101" s="5" t="s">
        <v>12</v>
      </c>
      <c r="F101" s="31">
        <v>0.1</v>
      </c>
      <c r="G101" s="32">
        <v>0.59663865546218486</v>
      </c>
      <c r="H101" s="33" t="s">
        <v>37</v>
      </c>
      <c r="I101" s="34">
        <v>0.12684493061661681</v>
      </c>
      <c r="J101" s="9">
        <v>8114.96307508672</v>
      </c>
      <c r="K101" s="35"/>
      <c r="L101" s="35" t="s">
        <v>934</v>
      </c>
      <c r="M101" s="195" t="s">
        <v>571</v>
      </c>
      <c r="N101" s="195" t="s">
        <v>381</v>
      </c>
      <c r="O101" s="195" t="s">
        <v>381</v>
      </c>
      <c r="P101" s="195" t="s">
        <v>381</v>
      </c>
      <c r="Q101" s="173" t="s">
        <v>1171</v>
      </c>
      <c r="R101" s="173" t="s">
        <v>1171</v>
      </c>
      <c r="S101" s="173" t="s">
        <v>1171</v>
      </c>
      <c r="T101" s="173" t="s">
        <v>1171</v>
      </c>
      <c r="U101" s="173" t="s">
        <v>1172</v>
      </c>
      <c r="V101" s="151" t="b">
        <v>1</v>
      </c>
      <c r="W101" s="188" t="str">
        <f t="shared" si="2"/>
        <v>NP - 83NOx</v>
      </c>
      <c r="X101" s="190" t="str">
        <f t="shared" si="3"/>
        <v>NA</v>
      </c>
      <c r="Y101" s="42"/>
      <c r="Z101" s="42"/>
      <c r="AA101" s="42"/>
    </row>
    <row r="102" spans="1:28" x14ac:dyDescent="0.3">
      <c r="A102" s="51" t="str">
        <f>IF(ISNA(VLOOKUP(B102,Shortlist_xref!$A$5:$B$77,2,FALSE))=TRUE,"-",VLOOKUP(B102,Shortlist_xref!$A$5:$B$77,2,FALSE))</f>
        <v>EmissRed</v>
      </c>
      <c r="B102" s="3" t="s">
        <v>134</v>
      </c>
      <c r="C102" s="5" t="s">
        <v>133</v>
      </c>
      <c r="D102" s="5" t="s">
        <v>135</v>
      </c>
      <c r="E102" s="5" t="s">
        <v>53</v>
      </c>
      <c r="F102" s="31">
        <v>0.1</v>
      </c>
      <c r="G102" s="32">
        <v>0.5955056179775281</v>
      </c>
      <c r="H102" s="33" t="s">
        <v>37</v>
      </c>
      <c r="I102" s="34">
        <v>8.4205163674629144E-2</v>
      </c>
      <c r="J102" s="9">
        <v>7564.8244629226756</v>
      </c>
      <c r="K102" s="35"/>
      <c r="L102" s="35" t="s">
        <v>934</v>
      </c>
      <c r="M102" s="195" t="s">
        <v>571</v>
      </c>
      <c r="N102" s="195" t="s">
        <v>381</v>
      </c>
      <c r="O102" s="195" t="s">
        <v>381</v>
      </c>
      <c r="P102" s="195" t="s">
        <v>381</v>
      </c>
      <c r="Q102" s="173" t="s">
        <v>1171</v>
      </c>
      <c r="R102" s="173" t="s">
        <v>1171</v>
      </c>
      <c r="S102" s="173" t="s">
        <v>1171</v>
      </c>
      <c r="T102" s="173" t="s">
        <v>1171</v>
      </c>
      <c r="U102" s="173" t="s">
        <v>1172</v>
      </c>
      <c r="V102" s="151" t="b">
        <v>1</v>
      </c>
      <c r="W102" s="188" t="str">
        <f t="shared" si="2"/>
        <v>NP - 83VOC</v>
      </c>
      <c r="X102" s="190" t="str">
        <f t="shared" si="3"/>
        <v>NA</v>
      </c>
      <c r="Y102" s="42"/>
      <c r="Z102" s="42"/>
      <c r="AA102" s="42"/>
    </row>
    <row r="103" spans="1:28" ht="24.2" x14ac:dyDescent="0.3">
      <c r="A103" s="51" t="str">
        <f>IF(ISNA(VLOOKUP(B103,Shortlist_xref!$A$5:$B$77,2,FALSE))=TRUE,"-",VLOOKUP(B103,Shortlist_xref!$A$5:$B$77,2,FALSE))</f>
        <v>EmissRed</v>
      </c>
      <c r="B103" s="3" t="s">
        <v>136</v>
      </c>
      <c r="C103" s="5" t="s">
        <v>133</v>
      </c>
      <c r="D103" s="5" t="s">
        <v>137</v>
      </c>
      <c r="E103" s="5" t="s">
        <v>53</v>
      </c>
      <c r="F103" s="31">
        <v>0.1</v>
      </c>
      <c r="G103" s="32">
        <v>0.59701492537313428</v>
      </c>
      <c r="H103" s="33" t="s">
        <v>37</v>
      </c>
      <c r="I103" s="34">
        <v>8.4205163674629144E-2</v>
      </c>
      <c r="J103" s="9">
        <v>7583.9974902857566</v>
      </c>
      <c r="K103" s="35"/>
      <c r="L103" s="35" t="s">
        <v>934</v>
      </c>
      <c r="M103" s="195" t="s">
        <v>571</v>
      </c>
      <c r="N103" s="195" t="s">
        <v>381</v>
      </c>
      <c r="O103" s="195" t="s">
        <v>381</v>
      </c>
      <c r="P103" s="195" t="s">
        <v>381</v>
      </c>
      <c r="Q103" s="173" t="s">
        <v>1171</v>
      </c>
      <c r="R103" s="173" t="s">
        <v>1171</v>
      </c>
      <c r="S103" s="173" t="s">
        <v>1171</v>
      </c>
      <c r="T103" s="173" t="s">
        <v>1171</v>
      </c>
      <c r="U103" s="173" t="s">
        <v>1172</v>
      </c>
      <c r="V103" s="151" t="b">
        <v>1</v>
      </c>
      <c r="W103" s="188" t="str">
        <f t="shared" si="2"/>
        <v>NP - 84VOC</v>
      </c>
      <c r="X103" s="190" t="str">
        <f t="shared" si="3"/>
        <v>NA</v>
      </c>
      <c r="Y103" s="42"/>
      <c r="Z103" s="42"/>
      <c r="AA103" s="42"/>
    </row>
    <row r="104" spans="1:28" ht="24.2" x14ac:dyDescent="0.3">
      <c r="A104" s="51" t="str">
        <f>IF(ISNA(VLOOKUP(B104,Shortlist_xref!$A$5:$B$77,2,FALSE))=TRUE,"-",VLOOKUP(B104,Shortlist_xref!$A$5:$B$77,2,FALSE))</f>
        <v>EmissRed</v>
      </c>
      <c r="B104" s="3" t="s">
        <v>136</v>
      </c>
      <c r="C104" s="5" t="s">
        <v>133</v>
      </c>
      <c r="D104" s="5" t="s">
        <v>137</v>
      </c>
      <c r="E104" s="5" t="s">
        <v>12</v>
      </c>
      <c r="F104" s="31">
        <v>0.1</v>
      </c>
      <c r="G104" s="32">
        <v>0.60139860139860135</v>
      </c>
      <c r="H104" s="33" t="s">
        <v>37</v>
      </c>
      <c r="I104" s="34">
        <v>0.12684493061661681</v>
      </c>
      <c r="J104" s="9">
        <v>8179.7037437641575</v>
      </c>
      <c r="K104" s="35"/>
      <c r="L104" s="35" t="s">
        <v>934</v>
      </c>
      <c r="M104" s="195" t="s">
        <v>571</v>
      </c>
      <c r="N104" s="195" t="s">
        <v>381</v>
      </c>
      <c r="O104" s="195" t="s">
        <v>381</v>
      </c>
      <c r="P104" s="195" t="s">
        <v>381</v>
      </c>
      <c r="Q104" s="173" t="s">
        <v>1172</v>
      </c>
      <c r="R104" s="173" t="s">
        <v>1172</v>
      </c>
      <c r="S104" s="173" t="s">
        <v>1172</v>
      </c>
      <c r="T104" s="173" t="s">
        <v>1172</v>
      </c>
      <c r="U104" s="173" t="s">
        <v>1172</v>
      </c>
      <c r="V104" s="151" t="b">
        <v>0</v>
      </c>
      <c r="W104" s="188" t="str">
        <f t="shared" si="2"/>
        <v>NP - 84NOx</v>
      </c>
      <c r="X104" s="190" t="str">
        <f t="shared" si="3"/>
        <v>NA</v>
      </c>
      <c r="Y104" s="42"/>
      <c r="Z104" s="42"/>
      <c r="AA104" s="42"/>
    </row>
    <row r="105" spans="1:28" x14ac:dyDescent="0.3">
      <c r="A105" s="119" t="s">
        <v>138</v>
      </c>
      <c r="B105" s="26"/>
      <c r="C105" s="26"/>
      <c r="D105" s="26"/>
      <c r="E105" s="26"/>
      <c r="F105" s="27"/>
      <c r="G105" s="28"/>
      <c r="H105" s="37"/>
      <c r="I105" s="29"/>
      <c r="J105" s="28"/>
      <c r="K105" s="38"/>
      <c r="L105" s="38"/>
      <c r="M105" s="196"/>
      <c r="N105" s="196"/>
      <c r="O105" s="196"/>
      <c r="P105" s="196"/>
      <c r="V105" s="151" t="b">
        <v>0</v>
      </c>
      <c r="W105" s="188" t="str">
        <f t="shared" si="2"/>
        <v/>
      </c>
      <c r="X105" s="190">
        <f t="shared" si="3"/>
        <v>0</v>
      </c>
    </row>
    <row r="106" spans="1:28" ht="43.8" x14ac:dyDescent="0.3">
      <c r="A106" s="51" t="str">
        <f>IF(ISNA(VLOOKUP(B106,Shortlist_xref!$A$5:$B$77,2,FALSE))=TRUE,"-",VLOOKUP(B106,Shortlist_xref!$A$5:$B$77,2,FALSE))</f>
        <v>-</v>
      </c>
      <c r="B106" s="3" t="s">
        <v>1136</v>
      </c>
      <c r="C106" s="5" t="s">
        <v>1137</v>
      </c>
      <c r="D106" s="5" t="s">
        <v>1138</v>
      </c>
      <c r="E106" s="5" t="s">
        <v>12</v>
      </c>
      <c r="F106" s="32">
        <v>0.1</v>
      </c>
      <c r="G106" s="32">
        <v>0.85</v>
      </c>
      <c r="H106" s="33" t="s">
        <v>1139</v>
      </c>
      <c r="I106" s="34">
        <v>6.3371246536183213E-3</v>
      </c>
      <c r="J106" s="9">
        <v>577.58142930104157</v>
      </c>
      <c r="K106" s="35" t="s">
        <v>1140</v>
      </c>
      <c r="L106" s="35" t="s">
        <v>396</v>
      </c>
      <c r="M106" s="195" t="s">
        <v>374</v>
      </c>
      <c r="N106" s="195" t="s">
        <v>1141</v>
      </c>
      <c r="O106" s="195" t="s">
        <v>381</v>
      </c>
      <c r="P106" s="195" t="s">
        <v>381</v>
      </c>
      <c r="Q106" s="173" t="s">
        <v>1171</v>
      </c>
      <c r="R106" s="173" t="s">
        <v>1172</v>
      </c>
      <c r="S106" s="173" t="s">
        <v>1171</v>
      </c>
      <c r="T106" s="173" t="s">
        <v>1172</v>
      </c>
      <c r="U106" s="173" t="s">
        <v>1172</v>
      </c>
      <c r="V106" s="151" t="b">
        <v>0</v>
      </c>
      <c r="W106" s="188" t="str">
        <f t="shared" si="2"/>
        <v>NP - 85NOx</v>
      </c>
      <c r="X106" s="190" t="str">
        <f t="shared" si="3"/>
        <v>$1,000 - $10,000 /ton</v>
      </c>
      <c r="Y106" s="42"/>
      <c r="Z106" s="42"/>
      <c r="AA106" s="42"/>
    </row>
    <row r="107" spans="1:28" s="180" customFormat="1" x14ac:dyDescent="0.3">
      <c r="A107" s="175"/>
      <c r="B107" s="176"/>
      <c r="C107" s="177"/>
      <c r="D107" s="177"/>
      <c r="E107" s="177"/>
      <c r="F107" s="40"/>
      <c r="G107" s="40"/>
      <c r="H107" s="40"/>
      <c r="I107" s="40"/>
      <c r="J107" s="40"/>
      <c r="K107" s="179"/>
      <c r="L107" s="179"/>
      <c r="V107" s="181"/>
      <c r="W107" s="191"/>
      <c r="X107" s="191"/>
      <c r="AB107" s="181"/>
    </row>
    <row r="108" spans="1:28" x14ac:dyDescent="0.3">
      <c r="A108" t="s">
        <v>139</v>
      </c>
      <c r="B108" s="41" t="s">
        <v>140</v>
      </c>
      <c r="F108" s="40"/>
      <c r="G108" s="40"/>
      <c r="I108" s="40"/>
      <c r="J108" s="40"/>
      <c r="K108" s="40"/>
    </row>
    <row r="109" spans="1:28" x14ac:dyDescent="0.3">
      <c r="A109" t="s">
        <v>141</v>
      </c>
      <c r="B109" s="41" t="s">
        <v>142</v>
      </c>
      <c r="F109" s="40"/>
      <c r="G109" s="40"/>
      <c r="I109" s="40"/>
      <c r="J109" s="40"/>
      <c r="K109" s="40"/>
    </row>
    <row r="110" spans="1:28" x14ac:dyDescent="0.3">
      <c r="A110" s="106" t="s">
        <v>283</v>
      </c>
      <c r="B110" s="106" t="s">
        <v>299</v>
      </c>
      <c r="C110" s="120"/>
      <c r="D110" s="120"/>
      <c r="F110" s="40"/>
      <c r="G110" s="40"/>
      <c r="I110" s="40"/>
      <c r="J110" s="40"/>
      <c r="K110" s="40"/>
    </row>
    <row r="111" spans="1:28" x14ac:dyDescent="0.3">
      <c r="A111" s="106"/>
      <c r="B111" s="107" t="s">
        <v>281</v>
      </c>
      <c r="C111" s="106"/>
    </row>
  </sheetData>
  <autoFilter ref="A1:P106" xr:uid="{421F3269-E254-4F92-9582-F6A85B6044A9}"/>
  <conditionalFormatting sqref="F3:J12 F14:J17 F30:J36 F38:J43 F80:J82 F84:J91 F19:J28 F45:J78 F93:J104">
    <cfRule type="cellIs" dxfId="4" priority="4" operator="notEqual">
      <formula>"NA"</formula>
    </cfRule>
  </conditionalFormatting>
  <conditionalFormatting sqref="F106:H106">
    <cfRule type="cellIs" dxfId="3" priority="3" operator="notEqual">
      <formula>"NA"</formula>
    </cfRule>
  </conditionalFormatting>
  <conditionalFormatting sqref="I106">
    <cfRule type="cellIs" dxfId="2" priority="2" operator="notEqual">
      <formula>"NA"</formula>
    </cfRule>
  </conditionalFormatting>
  <conditionalFormatting sqref="J106">
    <cfRule type="cellIs" dxfId="1" priority="1" operator="notEqual">
      <formula>"NA"</formula>
    </cfRule>
  </conditionalFormatting>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AAC22C-D85F-405C-BC82-BFC670C4642E}">
  <sheetPr>
    <tabColor theme="1"/>
  </sheetPr>
  <dimension ref="A1:BB117"/>
  <sheetViews>
    <sheetView zoomScale="70" zoomScaleNormal="70" workbookViewId="0">
      <pane ySplit="2" topLeftCell="A3" activePane="bottomLeft" state="frozen"/>
      <selection activeCell="L35" sqref="L35"/>
      <selection pane="bottomLeft" sqref="A1:XFD1048576"/>
    </sheetView>
  </sheetViews>
  <sheetFormatPr defaultRowHeight="14.4" x14ac:dyDescent="0.3"/>
  <cols>
    <col min="1" max="1" width="14.19921875" style="52" customWidth="1"/>
    <col min="2" max="2" width="18.09765625" customWidth="1"/>
    <col min="3" max="3" width="30.296875" customWidth="1"/>
    <col min="4" max="4" width="27.796875" customWidth="1"/>
    <col min="6" max="6" width="12.19921875" customWidth="1"/>
    <col min="7" max="11" width="12.296875" customWidth="1"/>
    <col min="12" max="16" width="26.09765625" style="52" customWidth="1"/>
    <col min="17" max="17" width="34.19921875" style="52" customWidth="1"/>
    <col min="18" max="24" width="0" hidden="1" customWidth="1"/>
  </cols>
  <sheetData>
    <row r="1" spans="1:54" ht="42.05" customHeight="1" x14ac:dyDescent="0.3">
      <c r="A1" s="207" t="s">
        <v>238</v>
      </c>
      <c r="B1" s="206" t="s">
        <v>65</v>
      </c>
      <c r="C1" s="206" t="s">
        <v>1</v>
      </c>
      <c r="D1" s="206" t="s">
        <v>2</v>
      </c>
      <c r="E1" s="206" t="s">
        <v>66</v>
      </c>
      <c r="F1" s="206" t="s">
        <v>220</v>
      </c>
      <c r="G1" s="206"/>
      <c r="H1" s="206"/>
      <c r="I1" s="206"/>
      <c r="J1" s="206"/>
      <c r="K1" s="206"/>
      <c r="L1" s="203" t="s">
        <v>275</v>
      </c>
      <c r="M1" s="203"/>
      <c r="N1" s="203"/>
      <c r="O1" s="203"/>
      <c r="P1" s="203"/>
      <c r="Q1" s="203"/>
      <c r="R1" t="s">
        <v>67</v>
      </c>
      <c r="S1" t="s">
        <v>68</v>
      </c>
      <c r="T1" t="s">
        <v>69</v>
      </c>
      <c r="U1" t="s">
        <v>70</v>
      </c>
      <c r="V1" t="s">
        <v>71</v>
      </c>
      <c r="W1" t="s">
        <v>72</v>
      </c>
    </row>
    <row r="2" spans="1:54" x14ac:dyDescent="0.3">
      <c r="A2" s="208"/>
      <c r="B2" s="206"/>
      <c r="C2" s="206"/>
      <c r="D2" s="206"/>
      <c r="E2" s="206"/>
      <c r="F2" s="16" t="s">
        <v>67</v>
      </c>
      <c r="G2" s="16" t="s">
        <v>68</v>
      </c>
      <c r="H2" s="16" t="s">
        <v>69</v>
      </c>
      <c r="I2" s="16" t="s">
        <v>70</v>
      </c>
      <c r="J2" s="16" t="s">
        <v>71</v>
      </c>
      <c r="K2" s="16" t="s">
        <v>72</v>
      </c>
      <c r="L2" s="45" t="s">
        <v>67</v>
      </c>
      <c r="M2" s="45" t="s">
        <v>68</v>
      </c>
      <c r="N2" s="45" t="s">
        <v>69</v>
      </c>
      <c r="O2" s="45" t="s">
        <v>70</v>
      </c>
      <c r="P2" s="45" t="s">
        <v>71</v>
      </c>
      <c r="Q2" s="45" t="s">
        <v>72</v>
      </c>
      <c r="R2" s="96" t="s">
        <v>266</v>
      </c>
      <c r="S2" s="96" t="s">
        <v>267</v>
      </c>
      <c r="T2" s="96" t="s">
        <v>268</v>
      </c>
      <c r="U2" s="96" t="s">
        <v>269</v>
      </c>
      <c r="V2" s="96" t="s">
        <v>270</v>
      </c>
      <c r="W2" s="96" t="s">
        <v>271</v>
      </c>
    </row>
    <row r="3" spans="1:54" s="30" customFormat="1" x14ac:dyDescent="0.25">
      <c r="A3" s="119" t="str">
        <f>Nonpoint_options!A2</f>
        <v>Residential/Commercial/Industrial Boilers, Heaters and IC Engines - Natural gas (nonpoint)</v>
      </c>
      <c r="B3" s="86"/>
      <c r="C3" s="85"/>
      <c r="D3" s="26"/>
      <c r="E3" s="26"/>
      <c r="F3" s="46"/>
      <c r="G3" s="46"/>
      <c r="H3" s="46"/>
      <c r="I3" s="46"/>
      <c r="J3" s="46"/>
      <c r="K3" s="46"/>
      <c r="L3" s="47"/>
      <c r="M3" s="47"/>
      <c r="N3" s="47"/>
      <c r="O3" s="47"/>
      <c r="P3" s="47"/>
      <c r="Q3" s="47"/>
      <c r="R3" s="48"/>
      <c r="S3" s="48"/>
      <c r="T3" s="48"/>
      <c r="U3" s="48"/>
      <c r="V3" s="48"/>
      <c r="W3" s="48"/>
      <c r="X3" s="48"/>
      <c r="Y3" s="48"/>
      <c r="Z3" s="48"/>
      <c r="AA3" s="48"/>
      <c r="AB3" s="48"/>
      <c r="AC3" s="48"/>
      <c r="AD3" s="48"/>
      <c r="AE3" s="48"/>
      <c r="AF3" s="48"/>
      <c r="AG3" s="48"/>
      <c r="AH3" s="48"/>
      <c r="AI3" s="48"/>
      <c r="AJ3" s="48"/>
      <c r="AK3" s="48"/>
      <c r="AL3" s="48"/>
      <c r="AM3" s="48"/>
      <c r="AN3" s="48"/>
      <c r="AO3" s="48"/>
      <c r="AP3" s="48"/>
      <c r="AQ3" s="48"/>
      <c r="AR3" s="48"/>
      <c r="AS3" s="48"/>
      <c r="AT3" s="48"/>
      <c r="AU3" s="48"/>
      <c r="AV3" s="48"/>
      <c r="AW3" s="48"/>
      <c r="AX3" s="48"/>
      <c r="AY3" s="48"/>
      <c r="AZ3" s="48"/>
      <c r="BA3" s="48"/>
      <c r="BB3" s="48"/>
    </row>
    <row r="4" spans="1:54" ht="72.599999999999994" x14ac:dyDescent="0.3">
      <c r="A4" s="51" t="str">
        <f>IF(ISNA(VLOOKUP(B4,Shortlist_xref!$A$5:$B$77,2,FALSE))=TRUE,"-",VLOOKUP(B4,Shortlist_xref!$A$5:$B$77,2,FALSE))</f>
        <v>C-E</v>
      </c>
      <c r="B4" s="3" t="s">
        <v>78</v>
      </c>
      <c r="C4" s="5" t="s">
        <v>79</v>
      </c>
      <c r="D4" s="5" t="s">
        <v>80</v>
      </c>
      <c r="E4" s="5" t="s">
        <v>12</v>
      </c>
      <c r="F4" s="9">
        <v>404.53595800480036</v>
      </c>
      <c r="G4" s="9">
        <v>98.84800830575837</v>
      </c>
      <c r="H4" s="9">
        <v>324.48583094124427</v>
      </c>
      <c r="I4" s="9">
        <v>202.15974301953122</v>
      </c>
      <c r="J4" s="9">
        <v>265.09945971023637</v>
      </c>
      <c r="K4" s="9">
        <v>149.87801195587664</v>
      </c>
      <c r="L4" s="49" t="s">
        <v>365</v>
      </c>
      <c r="M4" s="49" t="s">
        <v>366</v>
      </c>
      <c r="N4" s="49" t="s">
        <v>367</v>
      </c>
      <c r="O4" s="49" t="s">
        <v>368</v>
      </c>
      <c r="P4" s="49" t="s">
        <v>599</v>
      </c>
      <c r="Q4" s="49" t="s">
        <v>599</v>
      </c>
      <c r="R4" s="30" t="str">
        <f t="shared" ref="R4:W4" si="0">IF(L4="","",HLOOKUP(L$2,$R$1:$W$2,2,FALSE))</f>
        <v>IL</v>
      </c>
      <c r="S4" s="30" t="str">
        <f t="shared" si="0"/>
        <v>IN</v>
      </c>
      <c r="T4" s="30" t="str">
        <f t="shared" si="0"/>
        <v>MI</v>
      </c>
      <c r="U4" s="30" t="str">
        <f t="shared" si="0"/>
        <v>MN</v>
      </c>
      <c r="V4" s="30" t="str">
        <f t="shared" si="0"/>
        <v>OH</v>
      </c>
      <c r="W4" s="30" t="str">
        <f t="shared" si="0"/>
        <v>WI</v>
      </c>
      <c r="X4" s="30" t="str">
        <f>R4&amp;S4&amp;T4&amp;U4&amp;V4&amp;W4</f>
        <v>ILINMIMNOHWI</v>
      </c>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row>
    <row r="5" spans="1:54" ht="72.599999999999994" x14ac:dyDescent="0.3">
      <c r="A5" s="51" t="str">
        <f>IF(ISNA(VLOOKUP(B5,Shortlist_xref!$A$5:$B$77,2,FALSE))=TRUE,"-",VLOOKUP(B5,Shortlist_xref!$A$5:$B$77,2,FALSE))</f>
        <v>-</v>
      </c>
      <c r="B5" s="3" t="s">
        <v>912</v>
      </c>
      <c r="C5" s="5" t="s">
        <v>913</v>
      </c>
      <c r="D5" s="5" t="s">
        <v>914</v>
      </c>
      <c r="E5" s="5" t="s">
        <v>12</v>
      </c>
      <c r="F5" s="9">
        <v>243.63159236986394</v>
      </c>
      <c r="G5" s="9">
        <v>2.2483977849937498</v>
      </c>
      <c r="H5" s="9">
        <v>86.308232959778834</v>
      </c>
      <c r="I5" s="9">
        <v>59.707895474809696</v>
      </c>
      <c r="J5" s="9">
        <v>132.25440073135371</v>
      </c>
      <c r="K5" s="9">
        <v>41.161199055915141</v>
      </c>
      <c r="L5" s="49" t="s">
        <v>365</v>
      </c>
      <c r="M5" s="49" t="s">
        <v>366</v>
      </c>
      <c r="N5" s="49" t="s">
        <v>367</v>
      </c>
      <c r="O5" s="49" t="s">
        <v>368</v>
      </c>
      <c r="P5" s="49" t="s">
        <v>599</v>
      </c>
      <c r="Q5" s="49" t="s">
        <v>599</v>
      </c>
      <c r="R5" s="30" t="str">
        <f t="shared" ref="R5:R68" si="1">IF(L5="","",HLOOKUP(L$2,$R$1:$W$2,2,FALSE))</f>
        <v>IL</v>
      </c>
      <c r="S5" s="30" t="str">
        <f t="shared" ref="S5:S68" si="2">IF(M5="","",HLOOKUP(M$2,$R$1:$W$2,2,FALSE))</f>
        <v>IN</v>
      </c>
      <c r="T5" s="30" t="str">
        <f t="shared" ref="T5:T68" si="3">IF(N5="","",HLOOKUP(N$2,$R$1:$W$2,2,FALSE))</f>
        <v>MI</v>
      </c>
      <c r="U5" s="30" t="str">
        <f t="shared" ref="U5:U68" si="4">IF(O5="","",HLOOKUP(O$2,$R$1:$W$2,2,FALSE))</f>
        <v>MN</v>
      </c>
      <c r="V5" s="30" t="str">
        <f t="shared" ref="V5:V68" si="5">IF(P5="","",HLOOKUP(P$2,$R$1:$W$2,2,FALSE))</f>
        <v>OH</v>
      </c>
      <c r="W5" s="30" t="str">
        <f t="shared" ref="W5:W68" si="6">IF(Q5="","",HLOOKUP(Q$2,$R$1:$W$2,2,FALSE))</f>
        <v>WI</v>
      </c>
      <c r="X5" s="30" t="str">
        <f t="shared" ref="X5:X68" si="7">R5&amp;S5&amp;T5&amp;U5&amp;V5&amp;W5</f>
        <v>ILINMIMNOHWI</v>
      </c>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row>
    <row r="6" spans="1:54" ht="72.599999999999994" x14ac:dyDescent="0.3">
      <c r="A6" s="51" t="str">
        <f>IF(ISNA(VLOOKUP(B6,Shortlist_xref!$A$5:$B$77,2,FALSE))=TRUE,"-",VLOOKUP(B6,Shortlist_xref!$A$5:$B$77,2,FALSE))</f>
        <v>-</v>
      </c>
      <c r="B6" s="3" t="s">
        <v>917</v>
      </c>
      <c r="C6" s="5" t="s">
        <v>913</v>
      </c>
      <c r="D6" s="5" t="s">
        <v>918</v>
      </c>
      <c r="E6" s="5" t="s">
        <v>12</v>
      </c>
      <c r="F6" s="9">
        <v>243.63159236986394</v>
      </c>
      <c r="G6" s="9">
        <v>0</v>
      </c>
      <c r="H6" s="9">
        <v>86.285757959778834</v>
      </c>
      <c r="I6" s="9">
        <v>56.674692763365954</v>
      </c>
      <c r="J6" s="9">
        <v>130.14976182304122</v>
      </c>
      <c r="K6" s="9">
        <v>39.515195815246393</v>
      </c>
      <c r="L6" s="49" t="s">
        <v>365</v>
      </c>
      <c r="M6" s="49" t="s">
        <v>366</v>
      </c>
      <c r="N6" s="49" t="s">
        <v>367</v>
      </c>
      <c r="O6" s="49" t="s">
        <v>368</v>
      </c>
      <c r="P6" s="49" t="s">
        <v>599</v>
      </c>
      <c r="Q6" s="49" t="s">
        <v>599</v>
      </c>
      <c r="R6" s="30" t="str">
        <f t="shared" si="1"/>
        <v>IL</v>
      </c>
      <c r="S6" s="30" t="str">
        <f t="shared" si="2"/>
        <v>IN</v>
      </c>
      <c r="T6" s="30" t="str">
        <f t="shared" si="3"/>
        <v>MI</v>
      </c>
      <c r="U6" s="30" t="str">
        <f t="shared" si="4"/>
        <v>MN</v>
      </c>
      <c r="V6" s="30" t="str">
        <f t="shared" si="5"/>
        <v>OH</v>
      </c>
      <c r="W6" s="30" t="str">
        <f t="shared" si="6"/>
        <v>WI</v>
      </c>
      <c r="X6" s="30" t="str">
        <f t="shared" si="7"/>
        <v>ILINMIMNOHWI</v>
      </c>
      <c r="Y6" s="48"/>
      <c r="Z6" s="48"/>
      <c r="AA6" s="48"/>
      <c r="AB6" s="48"/>
      <c r="AC6" s="48"/>
      <c r="AD6" s="48"/>
      <c r="AE6" s="48"/>
      <c r="AF6" s="48"/>
      <c r="AG6" s="48"/>
      <c r="AH6" s="48"/>
      <c r="AI6" s="48"/>
      <c r="AJ6" s="48"/>
      <c r="AK6" s="48"/>
      <c r="AL6" s="48"/>
      <c r="AM6" s="48"/>
      <c r="AN6" s="48"/>
      <c r="AO6" s="48"/>
      <c r="AP6" s="48"/>
      <c r="AQ6" s="48"/>
      <c r="AR6" s="48"/>
      <c r="AS6" s="48"/>
      <c r="AT6" s="48"/>
      <c r="AU6" s="48"/>
      <c r="AV6" s="48"/>
      <c r="AW6" s="48"/>
      <c r="AX6" s="48"/>
      <c r="AY6" s="48"/>
      <c r="AZ6" s="48"/>
      <c r="BA6" s="48"/>
      <c r="BB6" s="48"/>
    </row>
    <row r="7" spans="1:54" ht="72.599999999999994" x14ac:dyDescent="0.3">
      <c r="A7" s="51" t="str">
        <f>IF(ISNA(VLOOKUP(B7,Shortlist_xref!$A$5:$B$77,2,FALSE))=TRUE,"-",VLOOKUP(B7,Shortlist_xref!$A$5:$B$77,2,FALSE))</f>
        <v>-</v>
      </c>
      <c r="B7" s="3" t="s">
        <v>920</v>
      </c>
      <c r="C7" s="5" t="s">
        <v>921</v>
      </c>
      <c r="D7" s="5" t="s">
        <v>922</v>
      </c>
      <c r="E7" s="5" t="s">
        <v>12</v>
      </c>
      <c r="F7" s="9">
        <v>203.95651027499952</v>
      </c>
      <c r="G7" s="9">
        <v>60.806813501165102</v>
      </c>
      <c r="H7" s="9">
        <v>156.72674058040192</v>
      </c>
      <c r="I7" s="9">
        <v>72.317166150237838</v>
      </c>
      <c r="J7" s="9">
        <v>134.58156602586749</v>
      </c>
      <c r="K7" s="9">
        <v>66.133979414154425</v>
      </c>
      <c r="L7" s="49" t="s">
        <v>365</v>
      </c>
      <c r="M7" s="49" t="s">
        <v>366</v>
      </c>
      <c r="N7" s="49" t="s">
        <v>367</v>
      </c>
      <c r="O7" s="49" t="s">
        <v>368</v>
      </c>
      <c r="P7" s="49" t="s">
        <v>599</v>
      </c>
      <c r="Q7" s="49" t="s">
        <v>599</v>
      </c>
      <c r="R7" s="30" t="str">
        <f t="shared" si="1"/>
        <v>IL</v>
      </c>
      <c r="S7" s="30" t="str">
        <f t="shared" si="2"/>
        <v>IN</v>
      </c>
      <c r="T7" s="30" t="str">
        <f t="shared" si="3"/>
        <v>MI</v>
      </c>
      <c r="U7" s="30" t="str">
        <f t="shared" si="4"/>
        <v>MN</v>
      </c>
      <c r="V7" s="30" t="str">
        <f t="shared" si="5"/>
        <v>OH</v>
      </c>
      <c r="W7" s="30" t="str">
        <f t="shared" si="6"/>
        <v>WI</v>
      </c>
      <c r="X7" s="30" t="str">
        <f t="shared" si="7"/>
        <v>ILINMIMNOHWI</v>
      </c>
    </row>
    <row r="8" spans="1:54" ht="72.599999999999994" x14ac:dyDescent="0.3">
      <c r="A8" s="51" t="str">
        <f>IF(ISNA(VLOOKUP(B8,Shortlist_xref!$A$5:$B$77,2,FALSE))=TRUE,"-",VLOOKUP(B8,Shortlist_xref!$A$5:$B$77,2,FALSE))</f>
        <v>EmissRed</v>
      </c>
      <c r="B8" s="3" t="s">
        <v>81</v>
      </c>
      <c r="C8" s="5" t="s">
        <v>82</v>
      </c>
      <c r="D8" s="5" t="s">
        <v>83</v>
      </c>
      <c r="E8" s="5" t="s">
        <v>12</v>
      </c>
      <c r="F8" s="9">
        <v>1659.2212082701558</v>
      </c>
      <c r="G8" s="9">
        <v>221.38136933571505</v>
      </c>
      <c r="H8" s="9">
        <v>977.82760110505683</v>
      </c>
      <c r="I8" s="9">
        <v>644.56551148011829</v>
      </c>
      <c r="J8" s="9">
        <v>994.49184176848735</v>
      </c>
      <c r="K8" s="9">
        <v>451.16908826013861</v>
      </c>
      <c r="L8" s="49" t="s">
        <v>365</v>
      </c>
      <c r="M8" s="49" t="s">
        <v>366</v>
      </c>
      <c r="N8" s="49" t="s">
        <v>367</v>
      </c>
      <c r="O8" s="49" t="s">
        <v>368</v>
      </c>
      <c r="P8" s="49" t="s">
        <v>599</v>
      </c>
      <c r="Q8" s="49" t="s">
        <v>599</v>
      </c>
      <c r="R8" s="30" t="str">
        <f t="shared" si="1"/>
        <v>IL</v>
      </c>
      <c r="S8" s="30" t="str">
        <f t="shared" si="2"/>
        <v>IN</v>
      </c>
      <c r="T8" s="30" t="str">
        <f t="shared" si="3"/>
        <v>MI</v>
      </c>
      <c r="U8" s="30" t="str">
        <f t="shared" si="4"/>
        <v>MN</v>
      </c>
      <c r="V8" s="30" t="str">
        <f t="shared" si="5"/>
        <v>OH</v>
      </c>
      <c r="W8" s="30" t="str">
        <f t="shared" si="6"/>
        <v>WI</v>
      </c>
      <c r="X8" s="30" t="str">
        <f t="shared" si="7"/>
        <v>ILINMIMNOHWI</v>
      </c>
    </row>
    <row r="9" spans="1:54" ht="72.599999999999994" x14ac:dyDescent="0.3">
      <c r="A9" s="51" t="str">
        <f>IF(ISNA(VLOOKUP(B9,Shortlist_xref!$A$5:$B$77,2,FALSE))=TRUE,"-",VLOOKUP(B9,Shortlist_xref!$A$5:$B$77,2,FALSE))</f>
        <v>EmissRed</v>
      </c>
      <c r="B9" s="3" t="s">
        <v>81</v>
      </c>
      <c r="C9" s="5" t="s">
        <v>82</v>
      </c>
      <c r="D9" s="5" t="s">
        <v>83</v>
      </c>
      <c r="E9" s="5" t="s">
        <v>53</v>
      </c>
      <c r="F9" s="9" t="s">
        <v>37</v>
      </c>
      <c r="G9" s="9" t="s">
        <v>37</v>
      </c>
      <c r="H9" s="9" t="s">
        <v>37</v>
      </c>
      <c r="I9" s="9" t="s">
        <v>37</v>
      </c>
      <c r="J9" s="9" t="s">
        <v>37</v>
      </c>
      <c r="K9" s="9" t="s">
        <v>37</v>
      </c>
      <c r="L9" s="49" t="s">
        <v>365</v>
      </c>
      <c r="M9" s="49" t="s">
        <v>366</v>
      </c>
      <c r="N9" s="49" t="s">
        <v>367</v>
      </c>
      <c r="O9" s="49" t="s">
        <v>368</v>
      </c>
      <c r="P9" s="49" t="s">
        <v>599</v>
      </c>
      <c r="Q9" s="49" t="s">
        <v>599</v>
      </c>
      <c r="R9" s="30" t="str">
        <f t="shared" si="1"/>
        <v>IL</v>
      </c>
      <c r="S9" s="30" t="str">
        <f t="shared" si="2"/>
        <v>IN</v>
      </c>
      <c r="T9" s="30" t="str">
        <f t="shared" si="3"/>
        <v>MI</v>
      </c>
      <c r="U9" s="30" t="str">
        <f t="shared" si="4"/>
        <v>MN</v>
      </c>
      <c r="V9" s="30" t="str">
        <f t="shared" si="5"/>
        <v>OH</v>
      </c>
      <c r="W9" s="30" t="str">
        <f t="shared" si="6"/>
        <v>WI</v>
      </c>
      <c r="X9" s="30" t="str">
        <f t="shared" si="7"/>
        <v>ILINMIMNOHWI</v>
      </c>
    </row>
    <row r="10" spans="1:54" ht="72.599999999999994" x14ac:dyDescent="0.3">
      <c r="A10" s="51" t="str">
        <f>IF(ISNA(VLOOKUP(B10,Shortlist_xref!$A$5:$B$77,2,FALSE))=TRUE,"-",VLOOKUP(B10,Shortlist_xref!$A$5:$B$77,2,FALSE))</f>
        <v>EmissRed</v>
      </c>
      <c r="B10" s="3" t="s">
        <v>84</v>
      </c>
      <c r="C10" s="5" t="s">
        <v>85</v>
      </c>
      <c r="D10" s="5" t="s">
        <v>86</v>
      </c>
      <c r="E10" s="5" t="s">
        <v>12</v>
      </c>
      <c r="F10" s="9">
        <v>1298.4052701252501</v>
      </c>
      <c r="G10" s="9">
        <v>393.76996441148759</v>
      </c>
      <c r="H10" s="9">
        <v>1018.9168737419388</v>
      </c>
      <c r="I10" s="9">
        <v>467.20565664989999</v>
      </c>
      <c r="J10" s="9">
        <v>864.171231283721</v>
      </c>
      <c r="K10" s="9">
        <v>433.97835301072536</v>
      </c>
      <c r="L10" s="49" t="s">
        <v>365</v>
      </c>
      <c r="M10" s="49" t="s">
        <v>366</v>
      </c>
      <c r="N10" s="49" t="s">
        <v>367</v>
      </c>
      <c r="O10" s="49" t="s">
        <v>368</v>
      </c>
      <c r="P10" s="49" t="s">
        <v>599</v>
      </c>
      <c r="Q10" s="49" t="s">
        <v>599</v>
      </c>
      <c r="R10" s="30" t="str">
        <f t="shared" si="1"/>
        <v>IL</v>
      </c>
      <c r="S10" s="30" t="str">
        <f t="shared" si="2"/>
        <v>IN</v>
      </c>
      <c r="T10" s="30" t="str">
        <f t="shared" si="3"/>
        <v>MI</v>
      </c>
      <c r="U10" s="30" t="str">
        <f t="shared" si="4"/>
        <v>MN</v>
      </c>
      <c r="V10" s="30" t="str">
        <f t="shared" si="5"/>
        <v>OH</v>
      </c>
      <c r="W10" s="30" t="str">
        <f t="shared" si="6"/>
        <v>WI</v>
      </c>
      <c r="X10" s="30" t="str">
        <f t="shared" si="7"/>
        <v>ILINMIMNOHWI</v>
      </c>
    </row>
    <row r="11" spans="1:54" ht="72.599999999999994" x14ac:dyDescent="0.3">
      <c r="A11" s="51" t="str">
        <f>IF(ISNA(VLOOKUP(B11,Shortlist_xref!$A$5:$B$77,2,FALSE))=TRUE,"-",VLOOKUP(B11,Shortlist_xref!$A$5:$B$77,2,FALSE))</f>
        <v>EmissRed</v>
      </c>
      <c r="B11" s="3" t="s">
        <v>87</v>
      </c>
      <c r="C11" s="5" t="s">
        <v>88</v>
      </c>
      <c r="D11" s="5" t="s">
        <v>89</v>
      </c>
      <c r="E11" s="5" t="s">
        <v>12</v>
      </c>
      <c r="F11" s="9">
        <v>1550.2529124909622</v>
      </c>
      <c r="G11" s="9">
        <v>486.82684087793302</v>
      </c>
      <c r="H11" s="9">
        <v>1227.5141100315975</v>
      </c>
      <c r="I11" s="9">
        <v>721.5491979507874</v>
      </c>
      <c r="J11" s="9">
        <v>1107.3297273140254</v>
      </c>
      <c r="K11" s="9">
        <v>588.35535278588441</v>
      </c>
      <c r="L11" s="49" t="s">
        <v>365</v>
      </c>
      <c r="M11" s="49" t="s">
        <v>366</v>
      </c>
      <c r="N11" s="49" t="s">
        <v>367</v>
      </c>
      <c r="O11" s="49" t="s">
        <v>368</v>
      </c>
      <c r="P11" s="49" t="s">
        <v>599</v>
      </c>
      <c r="Q11" s="49" t="s">
        <v>599</v>
      </c>
      <c r="R11" s="30" t="str">
        <f t="shared" si="1"/>
        <v>IL</v>
      </c>
      <c r="S11" s="30" t="str">
        <f t="shared" si="2"/>
        <v>IN</v>
      </c>
      <c r="T11" s="30" t="str">
        <f t="shared" si="3"/>
        <v>MI</v>
      </c>
      <c r="U11" s="30" t="str">
        <f t="shared" si="4"/>
        <v>MN</v>
      </c>
      <c r="V11" s="30" t="str">
        <f t="shared" si="5"/>
        <v>OH</v>
      </c>
      <c r="W11" s="30" t="str">
        <f t="shared" si="6"/>
        <v>WI</v>
      </c>
      <c r="X11" s="30" t="str">
        <f t="shared" si="7"/>
        <v>ILINMIMNOHWI</v>
      </c>
    </row>
    <row r="12" spans="1:54" ht="72.599999999999994" x14ac:dyDescent="0.3">
      <c r="A12" s="51" t="str">
        <f>IF(ISNA(VLOOKUP(B12,Shortlist_xref!$A$5:$B$77,2,FALSE))=TRUE,"-",VLOOKUP(B12,Shortlist_xref!$A$5:$B$77,2,FALSE))</f>
        <v>EmissRed</v>
      </c>
      <c r="B12" s="3" t="s">
        <v>87</v>
      </c>
      <c r="C12" s="5" t="s">
        <v>88</v>
      </c>
      <c r="D12" s="5" t="s">
        <v>89</v>
      </c>
      <c r="E12" s="5" t="s">
        <v>53</v>
      </c>
      <c r="F12" s="9" t="s">
        <v>37</v>
      </c>
      <c r="G12" s="9" t="s">
        <v>37</v>
      </c>
      <c r="H12" s="9" t="s">
        <v>37</v>
      </c>
      <c r="I12" s="9" t="s">
        <v>37</v>
      </c>
      <c r="J12" s="9" t="s">
        <v>37</v>
      </c>
      <c r="K12" s="9" t="s">
        <v>37</v>
      </c>
      <c r="L12" s="49" t="s">
        <v>365</v>
      </c>
      <c r="M12" s="49" t="s">
        <v>366</v>
      </c>
      <c r="N12" s="49" t="s">
        <v>367</v>
      </c>
      <c r="O12" s="49" t="s">
        <v>368</v>
      </c>
      <c r="P12" s="49" t="s">
        <v>599</v>
      </c>
      <c r="Q12" s="49" t="s">
        <v>599</v>
      </c>
      <c r="R12" s="30" t="str">
        <f t="shared" si="1"/>
        <v>IL</v>
      </c>
      <c r="S12" s="30" t="str">
        <f t="shared" si="2"/>
        <v>IN</v>
      </c>
      <c r="T12" s="30" t="str">
        <f t="shared" si="3"/>
        <v>MI</v>
      </c>
      <c r="U12" s="30" t="str">
        <f t="shared" si="4"/>
        <v>MN</v>
      </c>
      <c r="V12" s="30" t="str">
        <f t="shared" si="5"/>
        <v>OH</v>
      </c>
      <c r="W12" s="30" t="str">
        <f t="shared" si="6"/>
        <v>WI</v>
      </c>
      <c r="X12" s="30" t="str">
        <f t="shared" si="7"/>
        <v>ILINMIMNOHWI</v>
      </c>
    </row>
    <row r="13" spans="1:54" ht="72.599999999999994" x14ac:dyDescent="0.3">
      <c r="A13" s="51" t="str">
        <f>IF(ISNA(VLOOKUP(B13,Shortlist_xref!$A$5:$B$77,2,FALSE))=TRUE,"-",VLOOKUP(B13,Shortlist_xref!$A$5:$B$77,2,FALSE))</f>
        <v>-</v>
      </c>
      <c r="B13" s="3" t="s">
        <v>90</v>
      </c>
      <c r="C13" s="5" t="s">
        <v>935</v>
      </c>
      <c r="D13" s="5" t="s">
        <v>936</v>
      </c>
      <c r="E13" s="5" t="s">
        <v>12</v>
      </c>
      <c r="F13" s="9">
        <v>112.92810665000002</v>
      </c>
      <c r="G13" s="9">
        <v>36.810170050000004</v>
      </c>
      <c r="H13" s="9">
        <v>85.677999999999997</v>
      </c>
      <c r="I13" s="9">
        <v>34.462034674999998</v>
      </c>
      <c r="J13" s="9">
        <v>75.333446600000002</v>
      </c>
      <c r="K13" s="9">
        <v>35.346107750000002</v>
      </c>
      <c r="L13" s="49" t="s">
        <v>365</v>
      </c>
      <c r="M13" s="49" t="s">
        <v>366</v>
      </c>
      <c r="N13" s="49" t="s">
        <v>367</v>
      </c>
      <c r="O13" s="49" t="s">
        <v>368</v>
      </c>
      <c r="P13" s="49" t="s">
        <v>599</v>
      </c>
      <c r="Q13" s="49" t="s">
        <v>599</v>
      </c>
      <c r="R13" s="30" t="str">
        <f t="shared" si="1"/>
        <v>IL</v>
      </c>
      <c r="S13" s="30" t="str">
        <f t="shared" si="2"/>
        <v>IN</v>
      </c>
      <c r="T13" s="30" t="str">
        <f t="shared" si="3"/>
        <v>MI</v>
      </c>
      <c r="U13" s="30" t="str">
        <f t="shared" si="4"/>
        <v>MN</v>
      </c>
      <c r="V13" s="30" t="str">
        <f t="shared" si="5"/>
        <v>OH</v>
      </c>
      <c r="W13" s="30" t="str">
        <f t="shared" si="6"/>
        <v>WI</v>
      </c>
      <c r="X13" s="30" t="str">
        <f t="shared" si="7"/>
        <v>ILINMIMNOHWI</v>
      </c>
    </row>
    <row r="14" spans="1:54" x14ac:dyDescent="0.3">
      <c r="A14" s="119" t="str">
        <f>Nonpoint_options!A13</f>
        <v>Other combustion (industrial wood, residential/industrial propane, gas/oil/LPG/wood-fired heaters etc.)</v>
      </c>
      <c r="B14" s="87"/>
      <c r="C14" s="85"/>
      <c r="D14" s="26"/>
      <c r="E14" s="26"/>
      <c r="F14" s="46"/>
      <c r="G14" s="46"/>
      <c r="H14" s="46"/>
      <c r="I14" s="46"/>
      <c r="J14" s="46"/>
      <c r="K14" s="46"/>
      <c r="L14" s="47"/>
      <c r="M14" s="47"/>
      <c r="N14" s="47"/>
      <c r="O14" s="47"/>
      <c r="P14" s="47"/>
      <c r="Q14" s="47"/>
      <c r="R14" s="30" t="str">
        <f t="shared" si="1"/>
        <v/>
      </c>
      <c r="S14" s="30" t="str">
        <f t="shared" si="2"/>
        <v/>
      </c>
      <c r="T14" s="30" t="str">
        <f t="shared" si="3"/>
        <v/>
      </c>
      <c r="U14" s="30" t="str">
        <f t="shared" si="4"/>
        <v/>
      </c>
      <c r="V14" s="30" t="str">
        <f t="shared" si="5"/>
        <v/>
      </c>
      <c r="W14" s="30" t="str">
        <f t="shared" si="6"/>
        <v/>
      </c>
      <c r="X14" s="30" t="str">
        <f t="shared" si="7"/>
        <v/>
      </c>
    </row>
    <row r="15" spans="1:54" ht="72.599999999999994" x14ac:dyDescent="0.3">
      <c r="A15" s="51" t="str">
        <f>IF(ISNA(VLOOKUP(B15,Shortlist_xref!$A$5:$B$77,2,FALSE))=TRUE,"-",VLOOKUP(B15,Shortlist_xref!$A$5:$B$77,2,FALSE))</f>
        <v>-</v>
      </c>
      <c r="B15" s="3" t="s">
        <v>938</v>
      </c>
      <c r="C15" s="5" t="s">
        <v>939</v>
      </c>
      <c r="D15" s="5" t="s">
        <v>940</v>
      </c>
      <c r="E15" s="5" t="s">
        <v>12</v>
      </c>
      <c r="F15" s="9">
        <v>0</v>
      </c>
      <c r="G15" s="9">
        <v>0</v>
      </c>
      <c r="H15" s="9">
        <v>28.38832244706003</v>
      </c>
      <c r="I15" s="9">
        <v>13.597868434098311</v>
      </c>
      <c r="J15" s="9">
        <v>0</v>
      </c>
      <c r="K15" s="9">
        <v>0</v>
      </c>
      <c r="L15" s="49" t="s">
        <v>365</v>
      </c>
      <c r="M15" s="49" t="s">
        <v>593</v>
      </c>
      <c r="N15" s="49" t="s">
        <v>367</v>
      </c>
      <c r="O15" s="49" t="s">
        <v>594</v>
      </c>
      <c r="P15" s="49" t="s">
        <v>595</v>
      </c>
      <c r="Q15" s="49" t="s">
        <v>370</v>
      </c>
      <c r="R15" s="30" t="str">
        <f t="shared" si="1"/>
        <v>IL</v>
      </c>
      <c r="S15" s="30" t="str">
        <f t="shared" si="2"/>
        <v>IN</v>
      </c>
      <c r="T15" s="30" t="str">
        <f t="shared" si="3"/>
        <v>MI</v>
      </c>
      <c r="U15" s="30" t="str">
        <f t="shared" si="4"/>
        <v>MN</v>
      </c>
      <c r="V15" s="30" t="str">
        <f t="shared" si="5"/>
        <v>OH</v>
      </c>
      <c r="W15" s="30" t="str">
        <f t="shared" si="6"/>
        <v>WI</v>
      </c>
      <c r="X15" s="30" t="str">
        <f t="shared" si="7"/>
        <v>ILINMIMNOHWI</v>
      </c>
    </row>
    <row r="16" spans="1:54" ht="72.599999999999994" x14ac:dyDescent="0.3">
      <c r="A16" s="51" t="str">
        <f>IF(ISNA(VLOOKUP(B16,Shortlist_xref!$A$5:$B$77,2,FALSE))=TRUE,"-",VLOOKUP(B16,Shortlist_xref!$A$5:$B$77,2,FALSE))</f>
        <v>-</v>
      </c>
      <c r="B16" s="3" t="s">
        <v>941</v>
      </c>
      <c r="C16" s="5" t="s">
        <v>942</v>
      </c>
      <c r="D16" s="5" t="s">
        <v>940</v>
      </c>
      <c r="E16" s="5" t="s">
        <v>12</v>
      </c>
      <c r="F16" s="9">
        <v>16.146185702388767</v>
      </c>
      <c r="G16" s="9">
        <v>0</v>
      </c>
      <c r="H16" s="9">
        <v>9.8746558114078802</v>
      </c>
      <c r="I16" s="9">
        <v>5.4687140212499999E-2</v>
      </c>
      <c r="J16" s="9">
        <v>7.2691172069699892</v>
      </c>
      <c r="K16" s="9">
        <v>0</v>
      </c>
      <c r="L16" s="49" t="s">
        <v>365</v>
      </c>
      <c r="M16" s="49" t="s">
        <v>593</v>
      </c>
      <c r="N16" s="49" t="s">
        <v>367</v>
      </c>
      <c r="O16" s="49" t="s">
        <v>594</v>
      </c>
      <c r="P16" s="49" t="s">
        <v>595</v>
      </c>
      <c r="Q16" s="49" t="s">
        <v>370</v>
      </c>
      <c r="R16" s="30" t="str">
        <f t="shared" si="1"/>
        <v>IL</v>
      </c>
      <c r="S16" s="30" t="str">
        <f t="shared" si="2"/>
        <v>IN</v>
      </c>
      <c r="T16" s="30" t="str">
        <f t="shared" si="3"/>
        <v>MI</v>
      </c>
      <c r="U16" s="30" t="str">
        <f t="shared" si="4"/>
        <v>MN</v>
      </c>
      <c r="V16" s="30" t="str">
        <f t="shared" si="5"/>
        <v>OH</v>
      </c>
      <c r="W16" s="30" t="str">
        <f t="shared" si="6"/>
        <v>WI</v>
      </c>
      <c r="X16" s="30" t="str">
        <f t="shared" si="7"/>
        <v>ILINMIMNOHWI</v>
      </c>
    </row>
    <row r="17" spans="1:24" ht="72.599999999999994" x14ac:dyDescent="0.3">
      <c r="A17" s="51" t="str">
        <f>IF(ISNA(VLOOKUP(B17,Shortlist_xref!$A$5:$B$77,2,FALSE))=TRUE,"-",VLOOKUP(B17,Shortlist_xref!$A$5:$B$77,2,FALSE))</f>
        <v>-</v>
      </c>
      <c r="B17" s="3" t="s">
        <v>943</v>
      </c>
      <c r="C17" s="5" t="s">
        <v>473</v>
      </c>
      <c r="D17" s="5" t="s">
        <v>944</v>
      </c>
      <c r="E17" s="5" t="s">
        <v>12</v>
      </c>
      <c r="F17" s="9">
        <v>7.1038108796609407</v>
      </c>
      <c r="G17" s="9">
        <v>99.860956402500008</v>
      </c>
      <c r="H17" s="9">
        <v>91.441382250000004</v>
      </c>
      <c r="I17" s="9">
        <v>2.6257500000000003E-2</v>
      </c>
      <c r="J17" s="9">
        <v>2.1682200000000003</v>
      </c>
      <c r="K17" s="9">
        <v>2.152095375</v>
      </c>
      <c r="L17" s="49" t="s">
        <v>365</v>
      </c>
      <c r="M17" s="49" t="s">
        <v>593</v>
      </c>
      <c r="N17" s="49" t="s">
        <v>367</v>
      </c>
      <c r="O17" s="49" t="s">
        <v>594</v>
      </c>
      <c r="P17" s="49" t="s">
        <v>595</v>
      </c>
      <c r="Q17" s="49" t="s">
        <v>370</v>
      </c>
      <c r="R17" s="30" t="str">
        <f t="shared" si="1"/>
        <v>IL</v>
      </c>
      <c r="S17" s="30" t="str">
        <f t="shared" si="2"/>
        <v>IN</v>
      </c>
      <c r="T17" s="30" t="str">
        <f t="shared" si="3"/>
        <v>MI</v>
      </c>
      <c r="U17" s="30" t="str">
        <f t="shared" si="4"/>
        <v>MN</v>
      </c>
      <c r="V17" s="30" t="str">
        <f t="shared" si="5"/>
        <v>OH</v>
      </c>
      <c r="W17" s="30" t="str">
        <f t="shared" si="6"/>
        <v>WI</v>
      </c>
      <c r="X17" s="30" t="str">
        <f t="shared" si="7"/>
        <v>ILINMIMNOHWI</v>
      </c>
    </row>
    <row r="18" spans="1:24" ht="72.599999999999994" x14ac:dyDescent="0.3">
      <c r="A18" s="51" t="str">
        <f>IF(ISNA(VLOOKUP(B18,Shortlist_xref!$A$5:$B$77,2,FALSE))=TRUE,"-",VLOOKUP(B18,Shortlist_xref!$A$5:$B$77,2,FALSE))</f>
        <v>-</v>
      </c>
      <c r="B18" s="3" t="s">
        <v>947</v>
      </c>
      <c r="C18" s="5" t="s">
        <v>948</v>
      </c>
      <c r="D18" s="5" t="s">
        <v>949</v>
      </c>
      <c r="E18" s="5" t="s">
        <v>53</v>
      </c>
      <c r="F18" s="9">
        <v>28.8411097569</v>
      </c>
      <c r="G18" s="9">
        <v>6.7130952000000006</v>
      </c>
      <c r="H18" s="9">
        <v>5.4335820000000012</v>
      </c>
      <c r="I18" s="9">
        <v>3.3008073000000002</v>
      </c>
      <c r="J18" s="9">
        <v>31.214767500000008</v>
      </c>
      <c r="K18" s="9">
        <v>10.8375576015</v>
      </c>
      <c r="L18" s="49" t="s">
        <v>365</v>
      </c>
      <c r="M18" s="49" t="s">
        <v>593</v>
      </c>
      <c r="N18" s="49" t="s">
        <v>367</v>
      </c>
      <c r="O18" s="49" t="s">
        <v>594</v>
      </c>
      <c r="P18" s="49" t="s">
        <v>595</v>
      </c>
      <c r="Q18" s="49" t="s">
        <v>370</v>
      </c>
      <c r="R18" s="30" t="str">
        <f t="shared" si="1"/>
        <v>IL</v>
      </c>
      <c r="S18" s="30" t="str">
        <f t="shared" si="2"/>
        <v>IN</v>
      </c>
      <c r="T18" s="30" t="str">
        <f t="shared" si="3"/>
        <v>MI</v>
      </c>
      <c r="U18" s="30" t="str">
        <f t="shared" si="4"/>
        <v>MN</v>
      </c>
      <c r="V18" s="30" t="str">
        <f t="shared" si="5"/>
        <v>OH</v>
      </c>
      <c r="W18" s="30" t="str">
        <f t="shared" si="6"/>
        <v>WI</v>
      </c>
      <c r="X18" s="30" t="str">
        <f t="shared" si="7"/>
        <v>ILINMIMNOHWI</v>
      </c>
    </row>
    <row r="19" spans="1:24" x14ac:dyDescent="0.3">
      <c r="A19" s="119" t="str">
        <f>Nonpoint_options!A18</f>
        <v>Open Burning/Prescribed Forest Burning</v>
      </c>
      <c r="B19" s="87"/>
      <c r="C19" s="85"/>
      <c r="D19" s="26"/>
      <c r="E19" s="26"/>
      <c r="F19" s="46"/>
      <c r="G19" s="46"/>
      <c r="H19" s="46"/>
      <c r="I19" s="46"/>
      <c r="J19" s="46"/>
      <c r="K19" s="46"/>
      <c r="L19" s="47"/>
      <c r="M19" s="47"/>
      <c r="N19" s="47"/>
      <c r="O19" s="47"/>
      <c r="P19" s="47"/>
      <c r="Q19" s="47"/>
      <c r="R19" s="30" t="str">
        <f t="shared" si="1"/>
        <v/>
      </c>
      <c r="S19" s="30" t="str">
        <f t="shared" si="2"/>
        <v/>
      </c>
      <c r="T19" s="30" t="str">
        <f t="shared" si="3"/>
        <v/>
      </c>
      <c r="U19" s="30" t="str">
        <f t="shared" si="4"/>
        <v/>
      </c>
      <c r="V19" s="30" t="str">
        <f t="shared" si="5"/>
        <v/>
      </c>
      <c r="W19" s="30" t="str">
        <f t="shared" si="6"/>
        <v/>
      </c>
      <c r="X19" s="30" t="str">
        <f t="shared" si="7"/>
        <v/>
      </c>
    </row>
    <row r="20" spans="1:24" ht="36.299999999999997" x14ac:dyDescent="0.3">
      <c r="A20" s="51" t="str">
        <f>IF(ISNA(VLOOKUP(B20,Shortlist_xref!$A$5:$B$77,2,FALSE))=TRUE,"-",VLOOKUP(B20,Shortlist_xref!$A$5:$B$77,2,FALSE))</f>
        <v>C-E</v>
      </c>
      <c r="B20" s="3" t="s">
        <v>93</v>
      </c>
      <c r="C20" s="5" t="s">
        <v>94</v>
      </c>
      <c r="D20" s="5" t="s">
        <v>95</v>
      </c>
      <c r="E20" s="5" t="s">
        <v>12</v>
      </c>
      <c r="F20" s="9">
        <v>93.903810475000014</v>
      </c>
      <c r="G20" s="9">
        <v>120.46966492999998</v>
      </c>
      <c r="H20" s="9">
        <v>174.90729855599994</v>
      </c>
      <c r="I20" s="9">
        <v>83.586531741000016</v>
      </c>
      <c r="J20" s="9">
        <v>239.20484495700003</v>
      </c>
      <c r="K20" s="9">
        <v>138.829356128</v>
      </c>
      <c r="L20" s="49" t="s">
        <v>1142</v>
      </c>
      <c r="M20" s="49" t="s">
        <v>1143</v>
      </c>
      <c r="N20" s="49" t="s">
        <v>1144</v>
      </c>
      <c r="O20" s="49" t="s">
        <v>381</v>
      </c>
      <c r="P20" s="49" t="s">
        <v>1145</v>
      </c>
      <c r="Q20" s="49" t="s">
        <v>1146</v>
      </c>
      <c r="R20" s="30" t="str">
        <f t="shared" si="1"/>
        <v>IL</v>
      </c>
      <c r="S20" s="30" t="str">
        <f t="shared" si="2"/>
        <v>IN</v>
      </c>
      <c r="T20" s="30" t="str">
        <f t="shared" si="3"/>
        <v>MI</v>
      </c>
      <c r="U20" s="30" t="str">
        <f t="shared" si="4"/>
        <v/>
      </c>
      <c r="V20" s="30" t="str">
        <f t="shared" si="5"/>
        <v>OH</v>
      </c>
      <c r="W20" s="30" t="str">
        <f t="shared" si="6"/>
        <v>WI</v>
      </c>
      <c r="X20" s="30" t="str">
        <f t="shared" si="7"/>
        <v>ILINMIOHWI</v>
      </c>
    </row>
    <row r="21" spans="1:24" ht="36.299999999999997" x14ac:dyDescent="0.3">
      <c r="A21" s="51" t="str">
        <f>IF(ISNA(VLOOKUP(B21,Shortlist_xref!$A$5:$B$77,2,FALSE))=TRUE,"-",VLOOKUP(B21,Shortlist_xref!$A$5:$B$77,2,FALSE))</f>
        <v>C-E</v>
      </c>
      <c r="B21" s="3" t="s">
        <v>93</v>
      </c>
      <c r="C21" s="5" t="s">
        <v>94</v>
      </c>
      <c r="D21" s="5" t="s">
        <v>95</v>
      </c>
      <c r="E21" s="5" t="s">
        <v>53</v>
      </c>
      <c r="F21" s="9">
        <v>155.84974958800001</v>
      </c>
      <c r="G21" s="9">
        <v>201.49416998500001</v>
      </c>
      <c r="H21" s="9">
        <v>296.26638824399998</v>
      </c>
      <c r="I21" s="9">
        <v>218.60983038600003</v>
      </c>
      <c r="J21" s="9">
        <v>445.82998492399997</v>
      </c>
      <c r="K21" s="9">
        <v>248.83480387200004</v>
      </c>
      <c r="L21" s="49" t="s">
        <v>1142</v>
      </c>
      <c r="M21" s="49" t="s">
        <v>1143</v>
      </c>
      <c r="N21" s="49" t="s">
        <v>1144</v>
      </c>
      <c r="O21" s="49" t="s">
        <v>381</v>
      </c>
      <c r="P21" s="49" t="s">
        <v>1145</v>
      </c>
      <c r="Q21" s="49" t="s">
        <v>1146</v>
      </c>
      <c r="R21" s="30" t="str">
        <f t="shared" si="1"/>
        <v>IL</v>
      </c>
      <c r="S21" s="30" t="str">
        <f t="shared" si="2"/>
        <v>IN</v>
      </c>
      <c r="T21" s="30" t="str">
        <f t="shared" si="3"/>
        <v>MI</v>
      </c>
      <c r="U21" s="30" t="str">
        <f t="shared" si="4"/>
        <v/>
      </c>
      <c r="V21" s="30" t="str">
        <f t="shared" si="5"/>
        <v>OH</v>
      </c>
      <c r="W21" s="30" t="str">
        <f t="shared" si="6"/>
        <v>WI</v>
      </c>
      <c r="X21" s="30" t="str">
        <f t="shared" si="7"/>
        <v>ILINMIOHWI</v>
      </c>
    </row>
    <row r="22" spans="1:24" ht="36.299999999999997" x14ac:dyDescent="0.3">
      <c r="A22" s="51" t="str">
        <f>IF(ISNA(VLOOKUP(B22,Shortlist_xref!$A$5:$B$77,2,FALSE))=TRUE,"-",VLOOKUP(B22,Shortlist_xref!$A$5:$B$77,2,FALSE))</f>
        <v>-</v>
      </c>
      <c r="B22" s="3" t="s">
        <v>953</v>
      </c>
      <c r="C22" s="5" t="s">
        <v>94</v>
      </c>
      <c r="D22" s="5" t="s">
        <v>954</v>
      </c>
      <c r="E22" s="5" t="s">
        <v>12</v>
      </c>
      <c r="F22" s="9" t="s">
        <v>37</v>
      </c>
      <c r="G22" s="9" t="s">
        <v>37</v>
      </c>
      <c r="H22" s="9" t="s">
        <v>37</v>
      </c>
      <c r="I22" s="9" t="s">
        <v>37</v>
      </c>
      <c r="J22" s="9" t="s">
        <v>37</v>
      </c>
      <c r="K22" s="9" t="s">
        <v>37</v>
      </c>
      <c r="L22" s="49" t="s">
        <v>1142</v>
      </c>
      <c r="M22" s="49" t="s">
        <v>1143</v>
      </c>
      <c r="N22" s="49" t="s">
        <v>1144</v>
      </c>
      <c r="O22" s="49" t="s">
        <v>381</v>
      </c>
      <c r="P22" s="49" t="s">
        <v>1145</v>
      </c>
      <c r="Q22" s="49" t="s">
        <v>1146</v>
      </c>
      <c r="R22" s="30" t="str">
        <f t="shared" si="1"/>
        <v>IL</v>
      </c>
      <c r="S22" s="30" t="str">
        <f t="shared" si="2"/>
        <v>IN</v>
      </c>
      <c r="T22" s="30" t="str">
        <f t="shared" si="3"/>
        <v>MI</v>
      </c>
      <c r="U22" s="30" t="str">
        <f t="shared" si="4"/>
        <v/>
      </c>
      <c r="V22" s="30" t="str">
        <f t="shared" si="5"/>
        <v>OH</v>
      </c>
      <c r="W22" s="30" t="str">
        <f t="shared" si="6"/>
        <v>WI</v>
      </c>
      <c r="X22" s="30" t="str">
        <f t="shared" si="7"/>
        <v>ILINMIOHWI</v>
      </c>
    </row>
    <row r="23" spans="1:24" ht="36.299999999999997" x14ac:dyDescent="0.3">
      <c r="A23" s="51" t="str">
        <f>IF(ISNA(VLOOKUP(B23,Shortlist_xref!$A$5:$B$77,2,FALSE))=TRUE,"-",VLOOKUP(B23,Shortlist_xref!$A$5:$B$77,2,FALSE))</f>
        <v>-</v>
      </c>
      <c r="B23" s="3" t="s">
        <v>953</v>
      </c>
      <c r="C23" s="5" t="s">
        <v>94</v>
      </c>
      <c r="D23" s="5" t="s">
        <v>954</v>
      </c>
      <c r="E23" s="5" t="s">
        <v>53</v>
      </c>
      <c r="F23" s="9" t="s">
        <v>37</v>
      </c>
      <c r="G23" s="9" t="s">
        <v>37</v>
      </c>
      <c r="H23" s="9" t="s">
        <v>37</v>
      </c>
      <c r="I23" s="9" t="s">
        <v>37</v>
      </c>
      <c r="J23" s="9" t="s">
        <v>37</v>
      </c>
      <c r="K23" s="9" t="s">
        <v>37</v>
      </c>
      <c r="L23" s="49" t="s">
        <v>1142</v>
      </c>
      <c r="M23" s="49" t="s">
        <v>1143</v>
      </c>
      <c r="N23" s="49" t="s">
        <v>1144</v>
      </c>
      <c r="O23" s="49" t="s">
        <v>381</v>
      </c>
      <c r="P23" s="49" t="s">
        <v>1145</v>
      </c>
      <c r="Q23" s="49" t="s">
        <v>1146</v>
      </c>
      <c r="R23" s="30" t="str">
        <f t="shared" si="1"/>
        <v>IL</v>
      </c>
      <c r="S23" s="30" t="str">
        <f t="shared" si="2"/>
        <v>IN</v>
      </c>
      <c r="T23" s="30" t="str">
        <f t="shared" si="3"/>
        <v>MI</v>
      </c>
      <c r="U23" s="30" t="str">
        <f t="shared" si="4"/>
        <v/>
      </c>
      <c r="V23" s="30" t="str">
        <f t="shared" si="5"/>
        <v>OH</v>
      </c>
      <c r="W23" s="30" t="str">
        <f t="shared" si="6"/>
        <v>WI</v>
      </c>
      <c r="X23" s="30" t="str">
        <f t="shared" si="7"/>
        <v>ILINMIOHWI</v>
      </c>
    </row>
    <row r="24" spans="1:24" ht="36.299999999999997" x14ac:dyDescent="0.3">
      <c r="A24" s="51" t="str">
        <f>IF(ISNA(VLOOKUP(B24,Shortlist_xref!$A$5:$B$77,2,FALSE))=TRUE,"-",VLOOKUP(B24,Shortlist_xref!$A$5:$B$77,2,FALSE))</f>
        <v>-</v>
      </c>
      <c r="B24" s="3" t="s">
        <v>956</v>
      </c>
      <c r="C24" s="5" t="s">
        <v>94</v>
      </c>
      <c r="D24" s="5" t="s">
        <v>957</v>
      </c>
      <c r="E24" s="5" t="s">
        <v>12</v>
      </c>
      <c r="F24" s="9">
        <v>4.2256714713750005</v>
      </c>
      <c r="G24" s="9">
        <v>5.4211349218499985</v>
      </c>
      <c r="H24" s="9">
        <v>7.8708284350199973</v>
      </c>
      <c r="I24" s="9">
        <v>3.7613939283450004</v>
      </c>
      <c r="J24" s="9">
        <v>10.764218023065002</v>
      </c>
      <c r="K24" s="9">
        <v>6.2473210257599998</v>
      </c>
      <c r="L24" s="49" t="s">
        <v>1142</v>
      </c>
      <c r="M24" s="49" t="s">
        <v>1143</v>
      </c>
      <c r="N24" s="49" t="s">
        <v>1144</v>
      </c>
      <c r="O24" s="49" t="s">
        <v>381</v>
      </c>
      <c r="P24" s="49" t="s">
        <v>1145</v>
      </c>
      <c r="Q24" s="49" t="s">
        <v>1146</v>
      </c>
      <c r="R24" s="30" t="str">
        <f t="shared" si="1"/>
        <v>IL</v>
      </c>
      <c r="S24" s="30" t="str">
        <f t="shared" si="2"/>
        <v>IN</v>
      </c>
      <c r="T24" s="30" t="str">
        <f t="shared" si="3"/>
        <v>MI</v>
      </c>
      <c r="U24" s="30" t="str">
        <f t="shared" si="4"/>
        <v/>
      </c>
      <c r="V24" s="30" t="str">
        <f t="shared" si="5"/>
        <v>OH</v>
      </c>
      <c r="W24" s="30" t="str">
        <f t="shared" si="6"/>
        <v>WI</v>
      </c>
      <c r="X24" s="30" t="str">
        <f t="shared" si="7"/>
        <v>ILINMIOHWI</v>
      </c>
    </row>
    <row r="25" spans="1:24" ht="36.299999999999997" x14ac:dyDescent="0.3">
      <c r="A25" s="51" t="str">
        <f>IF(ISNA(VLOOKUP(B25,Shortlist_xref!$A$5:$B$77,2,FALSE))=TRUE,"-",VLOOKUP(B25,Shortlist_xref!$A$5:$B$77,2,FALSE))</f>
        <v>-</v>
      </c>
      <c r="B25" s="3" t="s">
        <v>956</v>
      </c>
      <c r="C25" s="5" t="s">
        <v>94</v>
      </c>
      <c r="D25" s="5" t="s">
        <v>957</v>
      </c>
      <c r="E25" s="5" t="s">
        <v>53</v>
      </c>
      <c r="F25" s="9" t="s">
        <v>37</v>
      </c>
      <c r="G25" s="9" t="s">
        <v>37</v>
      </c>
      <c r="H25" s="9" t="s">
        <v>37</v>
      </c>
      <c r="I25" s="9" t="s">
        <v>37</v>
      </c>
      <c r="J25" s="9" t="s">
        <v>37</v>
      </c>
      <c r="K25" s="9" t="s">
        <v>37</v>
      </c>
      <c r="L25" s="49" t="s">
        <v>1142</v>
      </c>
      <c r="M25" s="49" t="s">
        <v>1143</v>
      </c>
      <c r="N25" s="49" t="s">
        <v>1144</v>
      </c>
      <c r="O25" s="49" t="s">
        <v>381</v>
      </c>
      <c r="P25" s="49" t="s">
        <v>1145</v>
      </c>
      <c r="Q25" s="49" t="s">
        <v>1146</v>
      </c>
      <c r="R25" s="30" t="str">
        <f t="shared" si="1"/>
        <v>IL</v>
      </c>
      <c r="S25" s="30" t="str">
        <f t="shared" si="2"/>
        <v>IN</v>
      </c>
      <c r="T25" s="30" t="str">
        <f t="shared" si="3"/>
        <v>MI</v>
      </c>
      <c r="U25" s="30" t="str">
        <f t="shared" si="4"/>
        <v/>
      </c>
      <c r="V25" s="30" t="str">
        <f t="shared" si="5"/>
        <v>OH</v>
      </c>
      <c r="W25" s="30" t="str">
        <f t="shared" si="6"/>
        <v>WI</v>
      </c>
      <c r="X25" s="30" t="str">
        <f t="shared" si="7"/>
        <v>ILINMIOHWI</v>
      </c>
    </row>
    <row r="26" spans="1:24" ht="36.299999999999997" x14ac:dyDescent="0.3">
      <c r="A26" s="51" t="str">
        <f>IF(ISNA(VLOOKUP(B26,Shortlist_xref!$A$5:$B$77,2,FALSE))=TRUE,"-",VLOOKUP(B26,Shortlist_xref!$A$5:$B$77,2,FALSE))</f>
        <v>-</v>
      </c>
      <c r="B26" s="3" t="s">
        <v>959</v>
      </c>
      <c r="C26" s="5" t="s">
        <v>94</v>
      </c>
      <c r="D26" s="5" t="s">
        <v>960</v>
      </c>
      <c r="E26" s="5" t="s">
        <v>12</v>
      </c>
      <c r="F26" s="9" t="s">
        <v>37</v>
      </c>
      <c r="G26" s="9" t="s">
        <v>37</v>
      </c>
      <c r="H26" s="9" t="s">
        <v>37</v>
      </c>
      <c r="I26" s="9" t="s">
        <v>37</v>
      </c>
      <c r="J26" s="9" t="s">
        <v>37</v>
      </c>
      <c r="K26" s="9" t="s">
        <v>37</v>
      </c>
      <c r="L26" s="49" t="s">
        <v>1142</v>
      </c>
      <c r="M26" s="49" t="s">
        <v>1143</v>
      </c>
      <c r="N26" s="49" t="s">
        <v>1144</v>
      </c>
      <c r="O26" s="49" t="s">
        <v>381</v>
      </c>
      <c r="P26" s="49" t="s">
        <v>1145</v>
      </c>
      <c r="Q26" s="49" t="s">
        <v>1146</v>
      </c>
      <c r="R26" s="30" t="str">
        <f t="shared" si="1"/>
        <v>IL</v>
      </c>
      <c r="S26" s="30" t="str">
        <f t="shared" si="2"/>
        <v>IN</v>
      </c>
      <c r="T26" s="30" t="str">
        <f t="shared" si="3"/>
        <v>MI</v>
      </c>
      <c r="U26" s="30" t="str">
        <f t="shared" si="4"/>
        <v/>
      </c>
      <c r="V26" s="30" t="str">
        <f t="shared" si="5"/>
        <v>OH</v>
      </c>
      <c r="W26" s="30" t="str">
        <f t="shared" si="6"/>
        <v>WI</v>
      </c>
      <c r="X26" s="30" t="str">
        <f t="shared" si="7"/>
        <v>ILINMIOHWI</v>
      </c>
    </row>
    <row r="27" spans="1:24" ht="36.299999999999997" x14ac:dyDescent="0.3">
      <c r="A27" s="51" t="str">
        <f>IF(ISNA(VLOOKUP(B27,Shortlist_xref!$A$5:$B$77,2,FALSE))=TRUE,"-",VLOOKUP(B27,Shortlist_xref!$A$5:$B$77,2,FALSE))</f>
        <v>-</v>
      </c>
      <c r="B27" s="3" t="s">
        <v>959</v>
      </c>
      <c r="C27" s="5" t="s">
        <v>94</v>
      </c>
      <c r="D27" s="5" t="s">
        <v>960</v>
      </c>
      <c r="E27" s="5" t="s">
        <v>53</v>
      </c>
      <c r="F27" s="9" t="s">
        <v>37</v>
      </c>
      <c r="G27" s="9" t="s">
        <v>37</v>
      </c>
      <c r="H27" s="9" t="s">
        <v>37</v>
      </c>
      <c r="I27" s="9" t="s">
        <v>37</v>
      </c>
      <c r="J27" s="9" t="s">
        <v>37</v>
      </c>
      <c r="K27" s="9" t="s">
        <v>37</v>
      </c>
      <c r="L27" s="49" t="s">
        <v>1142</v>
      </c>
      <c r="M27" s="49" t="s">
        <v>1143</v>
      </c>
      <c r="N27" s="49" t="s">
        <v>1144</v>
      </c>
      <c r="O27" s="49" t="s">
        <v>381</v>
      </c>
      <c r="P27" s="49" t="s">
        <v>1145</v>
      </c>
      <c r="Q27" s="49" t="s">
        <v>1146</v>
      </c>
      <c r="R27" s="30" t="str">
        <f t="shared" si="1"/>
        <v>IL</v>
      </c>
      <c r="S27" s="30" t="str">
        <f t="shared" si="2"/>
        <v>IN</v>
      </c>
      <c r="T27" s="30" t="str">
        <f t="shared" si="3"/>
        <v>MI</v>
      </c>
      <c r="U27" s="30" t="str">
        <f t="shared" si="4"/>
        <v/>
      </c>
      <c r="V27" s="30" t="str">
        <f t="shared" si="5"/>
        <v>OH</v>
      </c>
      <c r="W27" s="30" t="str">
        <f t="shared" si="6"/>
        <v>WI</v>
      </c>
      <c r="X27" s="30" t="str">
        <f t="shared" si="7"/>
        <v>ILINMIOHWI</v>
      </c>
    </row>
    <row r="28" spans="1:24" ht="36.299999999999997" x14ac:dyDescent="0.3">
      <c r="A28" s="51" t="str">
        <f>IF(ISNA(VLOOKUP(B28,Shortlist_xref!$A$5:$B$77,2,FALSE))=TRUE,"-",VLOOKUP(B28,Shortlist_xref!$A$5:$B$77,2,FALSE))</f>
        <v>-</v>
      </c>
      <c r="B28" s="3" t="s">
        <v>964</v>
      </c>
      <c r="C28" s="5" t="s">
        <v>94</v>
      </c>
      <c r="D28" s="5" t="s">
        <v>965</v>
      </c>
      <c r="E28" s="5" t="s">
        <v>12</v>
      </c>
      <c r="F28" s="9" t="s">
        <v>37</v>
      </c>
      <c r="G28" s="9" t="s">
        <v>37</v>
      </c>
      <c r="H28" s="9" t="s">
        <v>37</v>
      </c>
      <c r="I28" s="9" t="s">
        <v>37</v>
      </c>
      <c r="J28" s="9" t="s">
        <v>37</v>
      </c>
      <c r="K28" s="9" t="s">
        <v>37</v>
      </c>
      <c r="L28" s="49" t="s">
        <v>1142</v>
      </c>
      <c r="M28" s="49" t="s">
        <v>1143</v>
      </c>
      <c r="N28" s="49" t="s">
        <v>1144</v>
      </c>
      <c r="O28" s="49" t="s">
        <v>381</v>
      </c>
      <c r="P28" s="49" t="s">
        <v>1145</v>
      </c>
      <c r="Q28" s="49" t="s">
        <v>1146</v>
      </c>
      <c r="R28" s="30" t="str">
        <f t="shared" si="1"/>
        <v>IL</v>
      </c>
      <c r="S28" s="30" t="str">
        <f t="shared" si="2"/>
        <v>IN</v>
      </c>
      <c r="T28" s="30" t="str">
        <f t="shared" si="3"/>
        <v>MI</v>
      </c>
      <c r="U28" s="30" t="str">
        <f t="shared" si="4"/>
        <v/>
      </c>
      <c r="V28" s="30" t="str">
        <f t="shared" si="5"/>
        <v>OH</v>
      </c>
      <c r="W28" s="30" t="str">
        <f t="shared" si="6"/>
        <v>WI</v>
      </c>
      <c r="X28" s="30" t="str">
        <f t="shared" si="7"/>
        <v>ILINMIOHWI</v>
      </c>
    </row>
    <row r="29" spans="1:24" ht="36.299999999999997" x14ac:dyDescent="0.3">
      <c r="A29" s="51" t="str">
        <f>IF(ISNA(VLOOKUP(B29,Shortlist_xref!$A$5:$B$77,2,FALSE))=TRUE,"-",VLOOKUP(B29,Shortlist_xref!$A$5:$B$77,2,FALSE))</f>
        <v>-</v>
      </c>
      <c r="B29" s="3" t="s">
        <v>964</v>
      </c>
      <c r="C29" s="5" t="s">
        <v>94</v>
      </c>
      <c r="D29" s="5" t="s">
        <v>965</v>
      </c>
      <c r="E29" s="5" t="s">
        <v>53</v>
      </c>
      <c r="F29" s="9" t="s">
        <v>37</v>
      </c>
      <c r="G29" s="9" t="s">
        <v>37</v>
      </c>
      <c r="H29" s="9" t="s">
        <v>37</v>
      </c>
      <c r="I29" s="9" t="s">
        <v>37</v>
      </c>
      <c r="J29" s="9" t="s">
        <v>37</v>
      </c>
      <c r="K29" s="9" t="s">
        <v>37</v>
      </c>
      <c r="L29" s="49" t="s">
        <v>1142</v>
      </c>
      <c r="M29" s="49" t="s">
        <v>1143</v>
      </c>
      <c r="N29" s="49" t="s">
        <v>1144</v>
      </c>
      <c r="O29" s="49" t="s">
        <v>381</v>
      </c>
      <c r="P29" s="49" t="s">
        <v>1145</v>
      </c>
      <c r="Q29" s="49" t="s">
        <v>1146</v>
      </c>
      <c r="R29" s="30" t="str">
        <f t="shared" si="1"/>
        <v>IL</v>
      </c>
      <c r="S29" s="30" t="str">
        <f t="shared" si="2"/>
        <v>IN</v>
      </c>
      <c r="T29" s="30" t="str">
        <f t="shared" si="3"/>
        <v>MI</v>
      </c>
      <c r="U29" s="30" t="str">
        <f t="shared" si="4"/>
        <v/>
      </c>
      <c r="V29" s="30" t="str">
        <f t="shared" si="5"/>
        <v>OH</v>
      </c>
      <c r="W29" s="30" t="str">
        <f t="shared" si="6"/>
        <v>WI</v>
      </c>
      <c r="X29" s="30" t="str">
        <f t="shared" si="7"/>
        <v>ILINMIOHWI</v>
      </c>
    </row>
    <row r="30" spans="1:24" x14ac:dyDescent="0.3">
      <c r="A30" s="119" t="str">
        <f>Nonpoint_options!A29</f>
        <v>Emissions-Intensive Solvent Utilization Categories : Architectural Coatings, Graphic Arts and Degreasing</v>
      </c>
      <c r="B30" s="87"/>
      <c r="C30" s="85"/>
      <c r="D30" s="26"/>
      <c r="E30" s="26"/>
      <c r="F30" s="46"/>
      <c r="G30" s="46"/>
      <c r="H30" s="46"/>
      <c r="I30" s="46"/>
      <c r="J30" s="46"/>
      <c r="K30" s="46"/>
      <c r="L30" s="47"/>
      <c r="M30" s="47"/>
      <c r="N30" s="47"/>
      <c r="O30" s="47"/>
      <c r="P30" s="47"/>
      <c r="Q30" s="47"/>
      <c r="R30" s="30" t="str">
        <f t="shared" si="1"/>
        <v/>
      </c>
      <c r="S30" s="30" t="str">
        <f t="shared" si="2"/>
        <v/>
      </c>
      <c r="T30" s="30" t="str">
        <f t="shared" si="3"/>
        <v/>
      </c>
      <c r="U30" s="30" t="str">
        <f t="shared" si="4"/>
        <v/>
      </c>
      <c r="V30" s="30" t="str">
        <f t="shared" si="5"/>
        <v/>
      </c>
      <c r="W30" s="30" t="str">
        <f t="shared" si="6"/>
        <v/>
      </c>
      <c r="X30" s="30" t="str">
        <f t="shared" si="7"/>
        <v/>
      </c>
    </row>
    <row r="31" spans="1:24" ht="72.599999999999994" x14ac:dyDescent="0.3">
      <c r="A31" s="51" t="str">
        <f>IF(ISNA(VLOOKUP(B31,Shortlist_xref!$A$5:$B$77,2,FALSE))=TRUE,"-",VLOOKUP(B31,Shortlist_xref!$A$5:$B$77,2,FALSE))</f>
        <v>-</v>
      </c>
      <c r="B31" s="3" t="s">
        <v>967</v>
      </c>
      <c r="C31" s="5" t="s">
        <v>968</v>
      </c>
      <c r="D31" s="5" t="s">
        <v>329</v>
      </c>
      <c r="E31" s="5" t="s">
        <v>53</v>
      </c>
      <c r="F31" s="9">
        <v>632.58292379324803</v>
      </c>
      <c r="G31" s="9">
        <v>330.11369515346723</v>
      </c>
      <c r="H31" s="9">
        <v>480.34364462375197</v>
      </c>
      <c r="I31" s="9">
        <v>284.32837865142801</v>
      </c>
      <c r="J31" s="9">
        <v>569.118229943036</v>
      </c>
      <c r="K31" s="9">
        <v>290.78414746196239</v>
      </c>
      <c r="L31" s="49" t="s">
        <v>1147</v>
      </c>
      <c r="M31" s="49" t="s">
        <v>1148</v>
      </c>
      <c r="N31" s="49" t="s">
        <v>381</v>
      </c>
      <c r="O31" s="49" t="s">
        <v>1149</v>
      </c>
      <c r="P31" s="49" t="s">
        <v>1150</v>
      </c>
      <c r="Q31" s="49" t="s">
        <v>1151</v>
      </c>
      <c r="R31" s="30" t="str">
        <f t="shared" si="1"/>
        <v>IL</v>
      </c>
      <c r="S31" s="30" t="str">
        <f t="shared" si="2"/>
        <v>IN</v>
      </c>
      <c r="T31" s="30" t="str">
        <f t="shared" si="3"/>
        <v/>
      </c>
      <c r="U31" s="30" t="str">
        <f t="shared" si="4"/>
        <v>MN</v>
      </c>
      <c r="V31" s="30" t="str">
        <f t="shared" si="5"/>
        <v>OH</v>
      </c>
      <c r="W31" s="30" t="str">
        <f t="shared" si="6"/>
        <v>WI</v>
      </c>
      <c r="X31" s="30" t="str">
        <f t="shared" si="7"/>
        <v>ILINMNOHWI</v>
      </c>
    </row>
    <row r="32" spans="1:24" ht="48.4" x14ac:dyDescent="0.3">
      <c r="A32" s="51" t="str">
        <f>IF(ISNA(VLOOKUP(B32,Shortlist_xref!$A$5:$B$77,2,FALSE))=TRUE,"-",VLOOKUP(B32,Shortlist_xref!$A$5:$B$77,2,FALSE))</f>
        <v>EmissRed</v>
      </c>
      <c r="B32" s="3" t="s">
        <v>309</v>
      </c>
      <c r="C32" s="5" t="s">
        <v>328</v>
      </c>
      <c r="D32" s="5" t="s">
        <v>329</v>
      </c>
      <c r="E32" s="5" t="s">
        <v>53</v>
      </c>
      <c r="F32" s="9">
        <v>196.32970189554527</v>
      </c>
      <c r="G32" s="9">
        <v>1540.5795946388325</v>
      </c>
      <c r="H32" s="9">
        <v>1011.0219995396551</v>
      </c>
      <c r="I32" s="9">
        <v>393.14822918969554</v>
      </c>
      <c r="J32" s="9">
        <v>2502.2057317189501</v>
      </c>
      <c r="K32" s="9">
        <v>0</v>
      </c>
      <c r="L32" s="49" t="s">
        <v>1152</v>
      </c>
      <c r="M32" s="49" t="s">
        <v>1153</v>
      </c>
      <c r="N32" s="49" t="s">
        <v>1154</v>
      </c>
      <c r="O32" s="49" t="s">
        <v>599</v>
      </c>
      <c r="P32" s="49" t="s">
        <v>600</v>
      </c>
      <c r="Q32" s="49" t="s">
        <v>1155</v>
      </c>
      <c r="R32" s="30" t="str">
        <f t="shared" si="1"/>
        <v>IL</v>
      </c>
      <c r="S32" s="30" t="str">
        <f t="shared" si="2"/>
        <v>IN</v>
      </c>
      <c r="T32" s="30" t="str">
        <f t="shared" si="3"/>
        <v>MI</v>
      </c>
      <c r="U32" s="30" t="str">
        <f t="shared" si="4"/>
        <v>MN</v>
      </c>
      <c r="V32" s="30" t="str">
        <f t="shared" si="5"/>
        <v>OH</v>
      </c>
      <c r="W32" s="30" t="str">
        <f t="shared" si="6"/>
        <v>WI</v>
      </c>
      <c r="X32" s="30" t="str">
        <f t="shared" si="7"/>
        <v>ILINMIMNOHWI</v>
      </c>
    </row>
    <row r="33" spans="1:24" ht="60.5" x14ac:dyDescent="0.3">
      <c r="A33" s="51" t="str">
        <f>IF(ISNA(VLOOKUP(B33,Shortlist_xref!$A$5:$B$77,2,FALSE))=TRUE,"-",VLOOKUP(B33,Shortlist_xref!$A$5:$B$77,2,FALSE))</f>
        <v>-</v>
      </c>
      <c r="B33" s="3" t="s">
        <v>973</v>
      </c>
      <c r="C33" s="5" t="s">
        <v>974</v>
      </c>
      <c r="D33" s="5" t="s">
        <v>97</v>
      </c>
      <c r="E33" s="5" t="s">
        <v>53</v>
      </c>
      <c r="F33" s="9">
        <v>709.48319000000004</v>
      </c>
      <c r="G33" s="9">
        <v>506.37632500000007</v>
      </c>
      <c r="H33" s="9">
        <v>459.93136640750004</v>
      </c>
      <c r="I33" s="9">
        <v>85.733407499999998</v>
      </c>
      <c r="J33" s="9">
        <v>681.65237465000007</v>
      </c>
      <c r="K33" s="9">
        <v>74.983558000000016</v>
      </c>
      <c r="L33" s="49" t="s">
        <v>1156</v>
      </c>
      <c r="M33" s="49" t="s">
        <v>1157</v>
      </c>
      <c r="N33" s="49" t="s">
        <v>1158</v>
      </c>
      <c r="O33" s="49" t="s">
        <v>599</v>
      </c>
      <c r="P33" s="49" t="s">
        <v>600</v>
      </c>
      <c r="Q33" s="49" t="s">
        <v>1159</v>
      </c>
      <c r="R33" s="30" t="str">
        <f t="shared" si="1"/>
        <v>IL</v>
      </c>
      <c r="S33" s="30" t="str">
        <f t="shared" si="2"/>
        <v>IN</v>
      </c>
      <c r="T33" s="30" t="str">
        <f t="shared" si="3"/>
        <v>MI</v>
      </c>
      <c r="U33" s="30" t="str">
        <f t="shared" si="4"/>
        <v>MN</v>
      </c>
      <c r="V33" s="30" t="str">
        <f t="shared" si="5"/>
        <v>OH</v>
      </c>
      <c r="W33" s="30" t="str">
        <f t="shared" si="6"/>
        <v>WI</v>
      </c>
      <c r="X33" s="30" t="str">
        <f t="shared" si="7"/>
        <v>ILINMIMNOHWI</v>
      </c>
    </row>
    <row r="34" spans="1:24" ht="60.5" x14ac:dyDescent="0.3">
      <c r="A34" s="51" t="str">
        <f>IF(ISNA(VLOOKUP(B34,Shortlist_xref!$A$5:$B$77,2,FALSE))=TRUE,"-",VLOOKUP(B34,Shortlist_xref!$A$5:$B$77,2,FALSE))</f>
        <v>-</v>
      </c>
      <c r="B34" s="3" t="s">
        <v>98</v>
      </c>
      <c r="C34" s="5" t="s">
        <v>976</v>
      </c>
      <c r="D34" s="5" t="s">
        <v>52</v>
      </c>
      <c r="E34" s="5" t="s">
        <v>53</v>
      </c>
      <c r="F34" s="9">
        <v>1036.93697</v>
      </c>
      <c r="G34" s="9">
        <v>740.08847500000002</v>
      </c>
      <c r="H34" s="9">
        <v>672.20738167249999</v>
      </c>
      <c r="I34" s="9">
        <v>125.30267249999999</v>
      </c>
      <c r="J34" s="9">
        <v>996.26116295000008</v>
      </c>
      <c r="K34" s="9">
        <v>109.59135400000001</v>
      </c>
      <c r="L34" s="49" t="s">
        <v>1156</v>
      </c>
      <c r="M34" s="49" t="s">
        <v>1157</v>
      </c>
      <c r="N34" s="49" t="s">
        <v>1158</v>
      </c>
      <c r="O34" s="49" t="s">
        <v>599</v>
      </c>
      <c r="P34" s="49" t="s">
        <v>600</v>
      </c>
      <c r="Q34" s="49" t="s">
        <v>1159</v>
      </c>
      <c r="R34" s="30" t="str">
        <f t="shared" si="1"/>
        <v>IL</v>
      </c>
      <c r="S34" s="30" t="str">
        <f t="shared" si="2"/>
        <v>IN</v>
      </c>
      <c r="T34" s="30" t="str">
        <f t="shared" si="3"/>
        <v>MI</v>
      </c>
      <c r="U34" s="30" t="str">
        <f t="shared" si="4"/>
        <v>MN</v>
      </c>
      <c r="V34" s="30" t="str">
        <f t="shared" si="5"/>
        <v>OH</v>
      </c>
      <c r="W34" s="30" t="str">
        <f t="shared" si="6"/>
        <v>WI</v>
      </c>
      <c r="X34" s="30" t="str">
        <f t="shared" si="7"/>
        <v>ILINMIMNOHWI</v>
      </c>
    </row>
    <row r="35" spans="1:24" ht="60.5" x14ac:dyDescent="0.3">
      <c r="A35" s="51" t="str">
        <f>IF(ISNA(VLOOKUP(B35,Shortlist_xref!$A$5:$B$77,2,FALSE))=TRUE,"-",VLOOKUP(B35,Shortlist_xref!$A$5:$B$77,2,FALSE))</f>
        <v>-</v>
      </c>
      <c r="B35" s="3" t="s">
        <v>977</v>
      </c>
      <c r="C35" s="5" t="s">
        <v>976</v>
      </c>
      <c r="D35" s="5" t="s">
        <v>978</v>
      </c>
      <c r="E35" s="5" t="s">
        <v>53</v>
      </c>
      <c r="F35" s="9">
        <v>87.321008000000006</v>
      </c>
      <c r="G35" s="9">
        <v>62.323240000000006</v>
      </c>
      <c r="H35" s="9">
        <v>56.606937404</v>
      </c>
      <c r="I35" s="9">
        <v>10.551804000000001</v>
      </c>
      <c r="J35" s="9">
        <v>83.895676880000011</v>
      </c>
      <c r="K35" s="9">
        <v>9.2287456000000017</v>
      </c>
      <c r="L35" s="49" t="s">
        <v>1156</v>
      </c>
      <c r="M35" s="49" t="s">
        <v>1157</v>
      </c>
      <c r="N35" s="49" t="s">
        <v>1158</v>
      </c>
      <c r="O35" s="49" t="s">
        <v>599</v>
      </c>
      <c r="P35" s="49" t="s">
        <v>600</v>
      </c>
      <c r="Q35" s="49" t="s">
        <v>1159</v>
      </c>
      <c r="R35" s="30" t="str">
        <f t="shared" si="1"/>
        <v>IL</v>
      </c>
      <c r="S35" s="30" t="str">
        <f t="shared" si="2"/>
        <v>IN</v>
      </c>
      <c r="T35" s="30" t="str">
        <f t="shared" si="3"/>
        <v>MI</v>
      </c>
      <c r="U35" s="30" t="str">
        <f t="shared" si="4"/>
        <v>MN</v>
      </c>
      <c r="V35" s="30" t="str">
        <f t="shared" si="5"/>
        <v>OH</v>
      </c>
      <c r="W35" s="30" t="str">
        <f t="shared" si="6"/>
        <v>WI</v>
      </c>
      <c r="X35" s="30" t="str">
        <f t="shared" si="7"/>
        <v>ILINMIMNOHWI</v>
      </c>
    </row>
    <row r="36" spans="1:24" ht="60.5" x14ac:dyDescent="0.3">
      <c r="A36" s="51" t="str">
        <f>IF(ISNA(VLOOKUP(B36,Shortlist_xref!$A$5:$B$77,2,FALSE))=TRUE,"-",VLOOKUP(B36,Shortlist_xref!$A$5:$B$77,2,FALSE))</f>
        <v>-</v>
      </c>
      <c r="B36" s="3" t="s">
        <v>99</v>
      </c>
      <c r="C36" s="5" t="s">
        <v>979</v>
      </c>
      <c r="D36" s="5" t="s">
        <v>52</v>
      </c>
      <c r="E36" s="5" t="s">
        <v>53</v>
      </c>
      <c r="F36" s="9">
        <v>1058.7672219999999</v>
      </c>
      <c r="G36" s="9">
        <v>755.66928500000006</v>
      </c>
      <c r="H36" s="9">
        <v>686.35911602349995</v>
      </c>
      <c r="I36" s="9">
        <v>127.94062349999999</v>
      </c>
      <c r="J36" s="9">
        <v>1017.2350821700001</v>
      </c>
      <c r="K36" s="9">
        <v>111.8985404</v>
      </c>
      <c r="L36" s="49" t="s">
        <v>1156</v>
      </c>
      <c r="M36" s="49" t="s">
        <v>1157</v>
      </c>
      <c r="N36" s="49" t="s">
        <v>1158</v>
      </c>
      <c r="O36" s="49" t="s">
        <v>599</v>
      </c>
      <c r="P36" s="49" t="s">
        <v>600</v>
      </c>
      <c r="Q36" s="49" t="s">
        <v>1159</v>
      </c>
      <c r="R36" s="30" t="str">
        <f t="shared" si="1"/>
        <v>IL</v>
      </c>
      <c r="S36" s="30" t="str">
        <f t="shared" si="2"/>
        <v>IN</v>
      </c>
      <c r="T36" s="30" t="str">
        <f t="shared" si="3"/>
        <v>MI</v>
      </c>
      <c r="U36" s="30" t="str">
        <f t="shared" si="4"/>
        <v>MN</v>
      </c>
      <c r="V36" s="30" t="str">
        <f t="shared" si="5"/>
        <v>OH</v>
      </c>
      <c r="W36" s="30" t="str">
        <f t="shared" si="6"/>
        <v>WI</v>
      </c>
      <c r="X36" s="30" t="str">
        <f t="shared" si="7"/>
        <v>ILINMIMNOHWI</v>
      </c>
    </row>
    <row r="37" spans="1:24" ht="60.5" x14ac:dyDescent="0.3">
      <c r="A37" s="51" t="str">
        <f>IF(ISNA(VLOOKUP(B37,Shortlist_xref!$A$5:$B$77,2,FALSE))=TRUE,"-",VLOOKUP(B37,Shortlist_xref!$A$5:$B$77,2,FALSE))</f>
        <v>-</v>
      </c>
      <c r="B37" s="3" t="s">
        <v>980</v>
      </c>
      <c r="C37" s="5" t="s">
        <v>979</v>
      </c>
      <c r="D37" s="5" t="s">
        <v>981</v>
      </c>
      <c r="E37" s="5" t="s">
        <v>53</v>
      </c>
      <c r="F37" s="9">
        <v>709.48319000000004</v>
      </c>
      <c r="G37" s="9">
        <v>506.37632500000007</v>
      </c>
      <c r="H37" s="9">
        <v>459.93136640750004</v>
      </c>
      <c r="I37" s="9">
        <v>85.733407499999998</v>
      </c>
      <c r="J37" s="9">
        <v>681.65237465000007</v>
      </c>
      <c r="K37" s="9">
        <v>74.983558000000016</v>
      </c>
      <c r="L37" s="49" t="s">
        <v>1156</v>
      </c>
      <c r="M37" s="49" t="s">
        <v>1157</v>
      </c>
      <c r="N37" s="49" t="s">
        <v>1158</v>
      </c>
      <c r="O37" s="49" t="s">
        <v>599</v>
      </c>
      <c r="P37" s="49" t="s">
        <v>600</v>
      </c>
      <c r="Q37" s="49" t="s">
        <v>1159</v>
      </c>
      <c r="R37" s="30" t="str">
        <f t="shared" si="1"/>
        <v>IL</v>
      </c>
      <c r="S37" s="30" t="str">
        <f t="shared" si="2"/>
        <v>IN</v>
      </c>
      <c r="T37" s="30" t="str">
        <f t="shared" si="3"/>
        <v>MI</v>
      </c>
      <c r="U37" s="30" t="str">
        <f t="shared" si="4"/>
        <v>MN</v>
      </c>
      <c r="V37" s="30" t="str">
        <f t="shared" si="5"/>
        <v>OH</v>
      </c>
      <c r="W37" s="30" t="str">
        <f t="shared" si="6"/>
        <v>WI</v>
      </c>
      <c r="X37" s="30" t="str">
        <f t="shared" si="7"/>
        <v>ILINMIMNOHWI</v>
      </c>
    </row>
    <row r="38" spans="1:24" x14ac:dyDescent="0.3">
      <c r="A38" s="119" t="str">
        <f>Nonpoint_options!A37</f>
        <v>Solvents: Consumer, Commercial, Household, Personal Care Products</v>
      </c>
      <c r="B38" s="87"/>
      <c r="C38" s="85"/>
      <c r="D38" s="26"/>
      <c r="E38" s="26"/>
      <c r="F38" s="46"/>
      <c r="G38" s="46"/>
      <c r="H38" s="46"/>
      <c r="I38" s="46"/>
      <c r="J38" s="46"/>
      <c r="K38" s="46"/>
      <c r="L38" s="47"/>
      <c r="M38" s="47"/>
      <c r="N38" s="47"/>
      <c r="O38" s="47"/>
      <c r="P38" s="47"/>
      <c r="Q38" s="47"/>
      <c r="R38" s="30" t="str">
        <f t="shared" si="1"/>
        <v/>
      </c>
      <c r="S38" s="30" t="str">
        <f t="shared" si="2"/>
        <v/>
      </c>
      <c r="T38" s="30" t="str">
        <f t="shared" si="3"/>
        <v/>
      </c>
      <c r="U38" s="30" t="str">
        <f t="shared" si="4"/>
        <v/>
      </c>
      <c r="V38" s="30" t="str">
        <f t="shared" si="5"/>
        <v/>
      </c>
      <c r="W38" s="30" t="str">
        <f t="shared" si="6"/>
        <v/>
      </c>
      <c r="X38" s="30" t="str">
        <f t="shared" si="7"/>
        <v/>
      </c>
    </row>
    <row r="39" spans="1:24" ht="60.5" x14ac:dyDescent="0.3">
      <c r="A39" s="51" t="str">
        <f>IF(ISNA(VLOOKUP(B39,Shortlist_xref!$A$5:$B$77,2,FALSE))=TRUE,"-",VLOOKUP(B39,Shortlist_xref!$A$5:$B$77,2,FALSE))</f>
        <v>-</v>
      </c>
      <c r="B39" s="3" t="s">
        <v>101</v>
      </c>
      <c r="C39" s="5" t="s">
        <v>982</v>
      </c>
      <c r="D39" s="5" t="s">
        <v>97</v>
      </c>
      <c r="E39" s="5" t="s">
        <v>53</v>
      </c>
      <c r="F39" s="9">
        <v>3.2211070200000003</v>
      </c>
      <c r="G39" s="9">
        <v>9.3212100000000007</v>
      </c>
      <c r="H39" s="9">
        <v>7.3061829000000023</v>
      </c>
      <c r="I39" s="9">
        <v>2.6367300000000005</v>
      </c>
      <c r="J39" s="9">
        <v>0.55260000000000009</v>
      </c>
      <c r="K39" s="9">
        <v>1.46467521</v>
      </c>
      <c r="L39" s="49" t="s">
        <v>1160</v>
      </c>
      <c r="M39" s="49" t="s">
        <v>1161</v>
      </c>
      <c r="N39" s="49" t="s">
        <v>1162</v>
      </c>
      <c r="O39" s="49" t="s">
        <v>907</v>
      </c>
      <c r="P39" s="49" t="s">
        <v>1163</v>
      </c>
      <c r="Q39" s="49" t="s">
        <v>381</v>
      </c>
      <c r="R39" s="30" t="str">
        <f t="shared" si="1"/>
        <v>IL</v>
      </c>
      <c r="S39" s="30" t="str">
        <f t="shared" si="2"/>
        <v>IN</v>
      </c>
      <c r="T39" s="30" t="str">
        <f t="shared" si="3"/>
        <v>MI</v>
      </c>
      <c r="U39" s="30" t="str">
        <f t="shared" si="4"/>
        <v>MN</v>
      </c>
      <c r="V39" s="30" t="str">
        <f t="shared" si="5"/>
        <v>OH</v>
      </c>
      <c r="W39" s="30" t="str">
        <f t="shared" si="6"/>
        <v/>
      </c>
      <c r="X39" s="30" t="str">
        <f t="shared" si="7"/>
        <v>ILINMIMNOH</v>
      </c>
    </row>
    <row r="40" spans="1:24" ht="60.5" x14ac:dyDescent="0.3">
      <c r="A40" s="51" t="str">
        <f>IF(ISNA(VLOOKUP(B40,Shortlist_xref!$A$5:$B$77,2,FALSE))=TRUE,"-",VLOOKUP(B40,Shortlist_xref!$A$5:$B$77,2,FALSE))</f>
        <v>EmissRed</v>
      </c>
      <c r="B40" s="3" t="s">
        <v>102</v>
      </c>
      <c r="C40" s="5" t="s">
        <v>103</v>
      </c>
      <c r="D40" s="5" t="s">
        <v>104</v>
      </c>
      <c r="E40" s="5" t="s">
        <v>53</v>
      </c>
      <c r="F40" s="9">
        <v>2848.6511241077992</v>
      </c>
      <c r="G40" s="9">
        <v>1574.7409611414682</v>
      </c>
      <c r="H40" s="9">
        <v>2291.3821890423374</v>
      </c>
      <c r="I40" s="9">
        <v>1356.3317403621918</v>
      </c>
      <c r="J40" s="9">
        <v>2714.8638401917019</v>
      </c>
      <c r="K40" s="9">
        <v>1387.12808856999</v>
      </c>
      <c r="L40" s="49" t="s">
        <v>1160</v>
      </c>
      <c r="M40" s="49" t="s">
        <v>1161</v>
      </c>
      <c r="N40" s="49" t="s">
        <v>1162</v>
      </c>
      <c r="O40" s="49" t="s">
        <v>907</v>
      </c>
      <c r="P40" s="49" t="s">
        <v>1163</v>
      </c>
      <c r="Q40" s="49" t="s">
        <v>381</v>
      </c>
      <c r="R40" s="30" t="str">
        <f t="shared" si="1"/>
        <v>IL</v>
      </c>
      <c r="S40" s="30" t="str">
        <f t="shared" si="2"/>
        <v>IN</v>
      </c>
      <c r="T40" s="30" t="str">
        <f t="shared" si="3"/>
        <v>MI</v>
      </c>
      <c r="U40" s="30" t="str">
        <f t="shared" si="4"/>
        <v>MN</v>
      </c>
      <c r="V40" s="30" t="str">
        <f t="shared" si="5"/>
        <v>OH</v>
      </c>
      <c r="W40" s="30" t="str">
        <f t="shared" si="6"/>
        <v/>
      </c>
      <c r="X40" s="30" t="str">
        <f t="shared" si="7"/>
        <v>ILINMIMNOH</v>
      </c>
    </row>
    <row r="41" spans="1:24" ht="60.5" x14ac:dyDescent="0.3">
      <c r="A41" s="51" t="str">
        <f>IF(ISNA(VLOOKUP(B41,Shortlist_xref!$A$5:$B$77,2,FALSE))=TRUE,"-",VLOOKUP(B41,Shortlist_xref!$A$5:$B$77,2,FALSE))</f>
        <v>-</v>
      </c>
      <c r="B41" s="3" t="s">
        <v>986</v>
      </c>
      <c r="C41" s="5" t="s">
        <v>103</v>
      </c>
      <c r="D41" s="5" t="s">
        <v>987</v>
      </c>
      <c r="E41" s="5" t="s">
        <v>53</v>
      </c>
      <c r="F41" s="9">
        <v>857.44398835644756</v>
      </c>
      <c r="G41" s="9">
        <v>473.99702930358194</v>
      </c>
      <c r="H41" s="9">
        <v>689.70603890174357</v>
      </c>
      <c r="I41" s="9">
        <v>408.25585384901973</v>
      </c>
      <c r="J41" s="9">
        <v>817.17401589770225</v>
      </c>
      <c r="K41" s="9">
        <v>417.52555465956698</v>
      </c>
      <c r="L41" s="49" t="s">
        <v>1160</v>
      </c>
      <c r="M41" s="49" t="s">
        <v>1161</v>
      </c>
      <c r="N41" s="49" t="s">
        <v>1162</v>
      </c>
      <c r="O41" s="49" t="s">
        <v>907</v>
      </c>
      <c r="P41" s="49" t="s">
        <v>1163</v>
      </c>
      <c r="Q41" s="49" t="s">
        <v>381</v>
      </c>
      <c r="R41" s="30" t="str">
        <f t="shared" si="1"/>
        <v>IL</v>
      </c>
      <c r="S41" s="30" t="str">
        <f t="shared" si="2"/>
        <v>IN</v>
      </c>
      <c r="T41" s="30" t="str">
        <f t="shared" si="3"/>
        <v>MI</v>
      </c>
      <c r="U41" s="30" t="str">
        <f t="shared" si="4"/>
        <v>MN</v>
      </c>
      <c r="V41" s="30" t="str">
        <f t="shared" si="5"/>
        <v>OH</v>
      </c>
      <c r="W41" s="30" t="str">
        <f t="shared" si="6"/>
        <v/>
      </c>
      <c r="X41" s="30" t="str">
        <f t="shared" si="7"/>
        <v>ILINMIMNOH</v>
      </c>
    </row>
    <row r="42" spans="1:24" ht="60.5" x14ac:dyDescent="0.3">
      <c r="A42" s="51" t="str">
        <f>IF(ISNA(VLOOKUP(B42,Shortlist_xref!$A$5:$B$77,2,FALSE))=TRUE,"-",VLOOKUP(B42,Shortlist_xref!$A$5:$B$77,2,FALSE))</f>
        <v>-</v>
      </c>
      <c r="B42" s="3" t="s">
        <v>989</v>
      </c>
      <c r="C42" s="5" t="s">
        <v>990</v>
      </c>
      <c r="D42" s="5" t="s">
        <v>991</v>
      </c>
      <c r="E42" s="5" t="s">
        <v>53</v>
      </c>
      <c r="F42" s="9">
        <v>449.19002</v>
      </c>
      <c r="G42" s="9">
        <v>92.720822900000016</v>
      </c>
      <c r="H42" s="9">
        <v>67.085812963680013</v>
      </c>
      <c r="I42" s="9">
        <v>104.738089828</v>
      </c>
      <c r="J42" s="9">
        <v>64.480358758000008</v>
      </c>
      <c r="K42" s="9">
        <v>56.886876883922007</v>
      </c>
      <c r="L42" s="49" t="s">
        <v>1160</v>
      </c>
      <c r="M42" s="49" t="s">
        <v>1161</v>
      </c>
      <c r="N42" s="49" t="s">
        <v>1162</v>
      </c>
      <c r="O42" s="49" t="s">
        <v>907</v>
      </c>
      <c r="P42" s="49" t="s">
        <v>1163</v>
      </c>
      <c r="Q42" s="49" t="s">
        <v>381</v>
      </c>
      <c r="R42" s="30" t="str">
        <f t="shared" si="1"/>
        <v>IL</v>
      </c>
      <c r="S42" s="30" t="str">
        <f t="shared" si="2"/>
        <v>IN</v>
      </c>
      <c r="T42" s="30" t="str">
        <f t="shared" si="3"/>
        <v>MI</v>
      </c>
      <c r="U42" s="30" t="str">
        <f t="shared" si="4"/>
        <v>MN</v>
      </c>
      <c r="V42" s="30" t="str">
        <f t="shared" si="5"/>
        <v>OH</v>
      </c>
      <c r="W42" s="30" t="str">
        <f t="shared" si="6"/>
        <v/>
      </c>
      <c r="X42" s="30" t="str">
        <f t="shared" si="7"/>
        <v>ILINMIMNOH</v>
      </c>
    </row>
    <row r="43" spans="1:24" ht="60.5" x14ac:dyDescent="0.3">
      <c r="A43" s="51" t="str">
        <f>IF(ISNA(VLOOKUP(B43,Shortlist_xref!$A$5:$B$77,2,FALSE))=TRUE,"-",VLOOKUP(B43,Shortlist_xref!$A$5:$B$77,2,FALSE))</f>
        <v>-</v>
      </c>
      <c r="B43" s="3" t="s">
        <v>992</v>
      </c>
      <c r="C43" s="5" t="s">
        <v>993</v>
      </c>
      <c r="D43" s="5" t="s">
        <v>994</v>
      </c>
      <c r="E43" s="5" t="s">
        <v>53</v>
      </c>
      <c r="F43" s="9" t="s">
        <v>37</v>
      </c>
      <c r="G43" s="9" t="s">
        <v>37</v>
      </c>
      <c r="H43" s="9" t="s">
        <v>37</v>
      </c>
      <c r="I43" s="9" t="s">
        <v>37</v>
      </c>
      <c r="J43" s="9" t="s">
        <v>37</v>
      </c>
      <c r="K43" s="9" t="s">
        <v>37</v>
      </c>
      <c r="L43" s="49" t="s">
        <v>1160</v>
      </c>
      <c r="M43" s="49" t="s">
        <v>1161</v>
      </c>
      <c r="N43" s="49" t="s">
        <v>1162</v>
      </c>
      <c r="O43" s="49" t="s">
        <v>907</v>
      </c>
      <c r="P43" s="49" t="s">
        <v>1163</v>
      </c>
      <c r="Q43" s="49" t="s">
        <v>381</v>
      </c>
      <c r="R43" s="30" t="str">
        <f t="shared" si="1"/>
        <v>IL</v>
      </c>
      <c r="S43" s="30" t="str">
        <f t="shared" si="2"/>
        <v>IN</v>
      </c>
      <c r="T43" s="30" t="str">
        <f t="shared" si="3"/>
        <v>MI</v>
      </c>
      <c r="U43" s="30" t="str">
        <f t="shared" si="4"/>
        <v>MN</v>
      </c>
      <c r="V43" s="30" t="str">
        <f t="shared" si="5"/>
        <v>OH</v>
      </c>
      <c r="W43" s="30" t="str">
        <f t="shared" si="6"/>
        <v/>
      </c>
      <c r="X43" s="30" t="str">
        <f t="shared" si="7"/>
        <v>ILINMIMNOH</v>
      </c>
    </row>
    <row r="44" spans="1:24" ht="60.5" x14ac:dyDescent="0.3">
      <c r="A44" s="51" t="str">
        <f>IF(ISNA(VLOOKUP(B44,Shortlist_xref!$A$5:$B$77,2,FALSE))=TRUE,"-",VLOOKUP(B44,Shortlist_xref!$A$5:$B$77,2,FALSE))</f>
        <v>-</v>
      </c>
      <c r="B44" s="3" t="s">
        <v>997</v>
      </c>
      <c r="C44" s="5" t="s">
        <v>998</v>
      </c>
      <c r="D44" s="5" t="s">
        <v>999</v>
      </c>
      <c r="E44" s="5" t="s">
        <v>53</v>
      </c>
      <c r="F44" s="9" t="s">
        <v>37</v>
      </c>
      <c r="G44" s="9" t="s">
        <v>37</v>
      </c>
      <c r="H44" s="9" t="s">
        <v>37</v>
      </c>
      <c r="I44" s="9" t="s">
        <v>37</v>
      </c>
      <c r="J44" s="9" t="s">
        <v>37</v>
      </c>
      <c r="K44" s="9" t="s">
        <v>37</v>
      </c>
      <c r="L44" s="49" t="s">
        <v>1160</v>
      </c>
      <c r="M44" s="49" t="s">
        <v>1161</v>
      </c>
      <c r="N44" s="49" t="s">
        <v>1162</v>
      </c>
      <c r="O44" s="49" t="s">
        <v>907</v>
      </c>
      <c r="P44" s="49" t="s">
        <v>1163</v>
      </c>
      <c r="Q44" s="49" t="s">
        <v>381</v>
      </c>
      <c r="R44" s="30" t="str">
        <f t="shared" si="1"/>
        <v>IL</v>
      </c>
      <c r="S44" s="30" t="str">
        <f t="shared" si="2"/>
        <v>IN</v>
      </c>
      <c r="T44" s="30" t="str">
        <f t="shared" si="3"/>
        <v>MI</v>
      </c>
      <c r="U44" s="30" t="str">
        <f t="shared" si="4"/>
        <v>MN</v>
      </c>
      <c r="V44" s="30" t="str">
        <f t="shared" si="5"/>
        <v>OH</v>
      </c>
      <c r="W44" s="30" t="str">
        <f t="shared" si="6"/>
        <v/>
      </c>
      <c r="X44" s="30" t="str">
        <f t="shared" si="7"/>
        <v>ILINMIMNOH</v>
      </c>
    </row>
    <row r="45" spans="1:24" x14ac:dyDescent="0.3">
      <c r="A45" s="119" t="str">
        <f>Nonpoint_options!A44</f>
        <v>Surface Coating and Other Solvents</v>
      </c>
      <c r="B45" s="87"/>
      <c r="C45" s="85"/>
      <c r="D45" s="26"/>
      <c r="E45" s="26"/>
      <c r="F45" s="46"/>
      <c r="G45" s="46"/>
      <c r="H45" s="46"/>
      <c r="I45" s="46"/>
      <c r="J45" s="46"/>
      <c r="K45" s="46"/>
      <c r="L45" s="47"/>
      <c r="M45" s="47"/>
      <c r="N45" s="47"/>
      <c r="O45" s="47"/>
      <c r="P45" s="47"/>
      <c r="Q45" s="47"/>
      <c r="R45" s="30" t="str">
        <f t="shared" si="1"/>
        <v/>
      </c>
      <c r="S45" s="30" t="str">
        <f t="shared" si="2"/>
        <v/>
      </c>
      <c r="T45" s="30" t="str">
        <f t="shared" si="3"/>
        <v/>
      </c>
      <c r="U45" s="30" t="str">
        <f t="shared" si="4"/>
        <v/>
      </c>
      <c r="V45" s="30" t="str">
        <f t="shared" si="5"/>
        <v/>
      </c>
      <c r="W45" s="30" t="str">
        <f t="shared" si="6"/>
        <v/>
      </c>
      <c r="X45" s="30" t="str">
        <f t="shared" si="7"/>
        <v/>
      </c>
    </row>
    <row r="46" spans="1:24" s="50" customFormat="1" ht="83.95" customHeight="1" x14ac:dyDescent="0.25">
      <c r="A46" s="51" t="str">
        <f>IF(ISNA(VLOOKUP(B46,Shortlist_xref!$A$5:$B$77,2,FALSE))=TRUE,"-",VLOOKUP(B46,Shortlist_xref!$A$5:$B$77,2,FALSE))</f>
        <v>-</v>
      </c>
      <c r="B46" s="3" t="s">
        <v>1002</v>
      </c>
      <c r="C46" s="5" t="s">
        <v>1003</v>
      </c>
      <c r="D46" s="5" t="s">
        <v>1004</v>
      </c>
      <c r="E46" s="5" t="s">
        <v>53</v>
      </c>
      <c r="F46" s="9">
        <v>47.636756394881672</v>
      </c>
      <c r="G46" s="9">
        <v>31.615201826474227</v>
      </c>
      <c r="H46" s="9">
        <v>32.261402342346642</v>
      </c>
      <c r="I46" s="9">
        <v>9.8402030317173228</v>
      </c>
      <c r="J46" s="9">
        <v>45.008851822880708</v>
      </c>
      <c r="K46" s="9">
        <v>9.4335323702802256</v>
      </c>
      <c r="L46" s="49" t="s">
        <v>1164</v>
      </c>
      <c r="M46" s="49" t="s">
        <v>1165</v>
      </c>
      <c r="N46" s="49" t="s">
        <v>1166</v>
      </c>
      <c r="O46" s="49" t="s">
        <v>907</v>
      </c>
      <c r="P46" s="49" t="s">
        <v>1167</v>
      </c>
      <c r="Q46" s="49" t="s">
        <v>1168</v>
      </c>
      <c r="R46" s="30" t="str">
        <f t="shared" si="1"/>
        <v>IL</v>
      </c>
      <c r="S46" s="30" t="str">
        <f t="shared" si="2"/>
        <v>IN</v>
      </c>
      <c r="T46" s="30" t="str">
        <f t="shared" si="3"/>
        <v>MI</v>
      </c>
      <c r="U46" s="30" t="str">
        <f t="shared" si="4"/>
        <v>MN</v>
      </c>
      <c r="V46" s="30" t="str">
        <f t="shared" si="5"/>
        <v>OH</v>
      </c>
      <c r="W46" s="30" t="str">
        <f t="shared" si="6"/>
        <v>WI</v>
      </c>
      <c r="X46" s="30" t="str">
        <f t="shared" si="7"/>
        <v>ILINMIMNOHWI</v>
      </c>
    </row>
    <row r="47" spans="1:24" ht="84.7" x14ac:dyDescent="0.3">
      <c r="A47" s="51" t="str">
        <f>IF(ISNA(VLOOKUP(B47,Shortlist_xref!$A$5:$B$77,2,FALSE))=TRUE,"-",VLOOKUP(B47,Shortlist_xref!$A$5:$B$77,2,FALSE))</f>
        <v>EmissRed</v>
      </c>
      <c r="B47" s="3" t="s">
        <v>311</v>
      </c>
      <c r="C47" s="5" t="s">
        <v>332</v>
      </c>
      <c r="D47" s="5" t="s">
        <v>97</v>
      </c>
      <c r="E47" s="5" t="s">
        <v>53</v>
      </c>
      <c r="F47" s="9">
        <v>982.32846301539644</v>
      </c>
      <c r="G47" s="9">
        <v>512.62842938278754</v>
      </c>
      <c r="H47" s="9">
        <v>745.91772541000228</v>
      </c>
      <c r="I47" s="9">
        <v>441.52929715725429</v>
      </c>
      <c r="J47" s="9">
        <v>883.77503604872004</v>
      </c>
      <c r="K47" s="9">
        <v>451.55446787065182</v>
      </c>
      <c r="L47" s="49" t="s">
        <v>1164</v>
      </c>
      <c r="M47" s="49" t="s">
        <v>1165</v>
      </c>
      <c r="N47" s="49" t="s">
        <v>1166</v>
      </c>
      <c r="O47" s="49" t="s">
        <v>907</v>
      </c>
      <c r="P47" s="49" t="s">
        <v>1167</v>
      </c>
      <c r="Q47" s="49" t="s">
        <v>1168</v>
      </c>
      <c r="R47" s="30" t="str">
        <f t="shared" si="1"/>
        <v>IL</v>
      </c>
      <c r="S47" s="30" t="str">
        <f t="shared" si="2"/>
        <v>IN</v>
      </c>
      <c r="T47" s="30" t="str">
        <f t="shared" si="3"/>
        <v>MI</v>
      </c>
      <c r="U47" s="30" t="str">
        <f t="shared" si="4"/>
        <v>MN</v>
      </c>
      <c r="V47" s="30" t="str">
        <f t="shared" si="5"/>
        <v>OH</v>
      </c>
      <c r="W47" s="30" t="str">
        <f t="shared" si="6"/>
        <v>WI</v>
      </c>
      <c r="X47" s="30" t="str">
        <f t="shared" si="7"/>
        <v>ILINMIMNOHWI</v>
      </c>
    </row>
    <row r="48" spans="1:24" ht="84.7" x14ac:dyDescent="0.3">
      <c r="A48" s="51" t="str">
        <f>IF(ISNA(VLOOKUP(B48,Shortlist_xref!$A$5:$B$77,2,FALSE))=TRUE,"-",VLOOKUP(B48,Shortlist_xref!$A$5:$B$77,2,FALSE))</f>
        <v>-</v>
      </c>
      <c r="B48" s="3" t="s">
        <v>1008</v>
      </c>
      <c r="C48" s="5" t="s">
        <v>1009</v>
      </c>
      <c r="D48" s="5" t="s">
        <v>97</v>
      </c>
      <c r="E48" s="5" t="s">
        <v>53</v>
      </c>
      <c r="F48" s="9">
        <v>709.48319000000004</v>
      </c>
      <c r="G48" s="9">
        <v>506.37632500000007</v>
      </c>
      <c r="H48" s="9">
        <v>459.93136640750004</v>
      </c>
      <c r="I48" s="9">
        <v>85.733407499999998</v>
      </c>
      <c r="J48" s="9">
        <v>681.65237465000007</v>
      </c>
      <c r="K48" s="9">
        <v>74.983558000000016</v>
      </c>
      <c r="L48" s="49" t="s">
        <v>1164</v>
      </c>
      <c r="M48" s="49" t="s">
        <v>1165</v>
      </c>
      <c r="N48" s="49" t="s">
        <v>1166</v>
      </c>
      <c r="O48" s="49" t="s">
        <v>907</v>
      </c>
      <c r="P48" s="49" t="s">
        <v>1167</v>
      </c>
      <c r="Q48" s="49" t="s">
        <v>1168</v>
      </c>
      <c r="R48" s="30" t="str">
        <f t="shared" si="1"/>
        <v>IL</v>
      </c>
      <c r="S48" s="30" t="str">
        <f t="shared" si="2"/>
        <v>IN</v>
      </c>
      <c r="T48" s="30" t="str">
        <f t="shared" si="3"/>
        <v>MI</v>
      </c>
      <c r="U48" s="30" t="str">
        <f t="shared" si="4"/>
        <v>MN</v>
      </c>
      <c r="V48" s="30" t="str">
        <f t="shared" si="5"/>
        <v>OH</v>
      </c>
      <c r="W48" s="30" t="str">
        <f t="shared" si="6"/>
        <v>WI</v>
      </c>
      <c r="X48" s="30" t="str">
        <f t="shared" si="7"/>
        <v>ILINMIMNOHWI</v>
      </c>
    </row>
    <row r="49" spans="1:54" ht="84.7" x14ac:dyDescent="0.3">
      <c r="A49" s="51" t="str">
        <f>IF(ISNA(VLOOKUP(B49,Shortlist_xref!$A$5:$B$77,2,FALSE))=TRUE,"-",VLOOKUP(B49,Shortlist_xref!$A$5:$B$77,2,FALSE))</f>
        <v>-</v>
      </c>
      <c r="B49" s="3" t="s">
        <v>1011</v>
      </c>
      <c r="C49" s="5" t="s">
        <v>1012</v>
      </c>
      <c r="D49" s="5" t="s">
        <v>991</v>
      </c>
      <c r="E49" s="5" t="s">
        <v>53</v>
      </c>
      <c r="F49" s="9">
        <v>18.819340213</v>
      </c>
      <c r="G49" s="9">
        <v>25.742557866999999</v>
      </c>
      <c r="H49" s="9">
        <v>55.634173350099999</v>
      </c>
      <c r="I49" s="9">
        <v>20.886820589999999</v>
      </c>
      <c r="J49" s="9">
        <v>17.019300308030001</v>
      </c>
      <c r="K49" s="9">
        <v>46.036545378890004</v>
      </c>
      <c r="L49" s="49" t="s">
        <v>1164</v>
      </c>
      <c r="M49" s="49" t="s">
        <v>1165</v>
      </c>
      <c r="N49" s="49" t="s">
        <v>1166</v>
      </c>
      <c r="O49" s="49" t="s">
        <v>907</v>
      </c>
      <c r="P49" s="49" t="s">
        <v>1167</v>
      </c>
      <c r="Q49" s="49" t="s">
        <v>1168</v>
      </c>
      <c r="R49" s="30" t="str">
        <f t="shared" si="1"/>
        <v>IL</v>
      </c>
      <c r="S49" s="30" t="str">
        <f t="shared" si="2"/>
        <v>IN</v>
      </c>
      <c r="T49" s="30" t="str">
        <f t="shared" si="3"/>
        <v>MI</v>
      </c>
      <c r="U49" s="30" t="str">
        <f t="shared" si="4"/>
        <v>MN</v>
      </c>
      <c r="V49" s="30" t="str">
        <f t="shared" si="5"/>
        <v>OH</v>
      </c>
      <c r="W49" s="30" t="str">
        <f t="shared" si="6"/>
        <v>WI</v>
      </c>
      <c r="X49" s="30" t="str">
        <f t="shared" si="7"/>
        <v>ILINMIMNOHWI</v>
      </c>
    </row>
    <row r="50" spans="1:54" ht="84.7" x14ac:dyDescent="0.3">
      <c r="A50" s="51" t="str">
        <f>IF(ISNA(VLOOKUP(B50,Shortlist_xref!$A$5:$B$77,2,FALSE))=TRUE,"-",VLOOKUP(B50,Shortlist_xref!$A$5:$B$77,2,FALSE))</f>
        <v>EmissRed</v>
      </c>
      <c r="B50" s="3" t="s">
        <v>308</v>
      </c>
      <c r="C50" s="5" t="s">
        <v>326</v>
      </c>
      <c r="D50" s="5" t="s">
        <v>327</v>
      </c>
      <c r="E50" s="5" t="s">
        <v>53</v>
      </c>
      <c r="F50" s="9">
        <v>1456.7740328781626</v>
      </c>
      <c r="G50" s="9">
        <v>1107.6950179302812</v>
      </c>
      <c r="H50" s="9">
        <v>2026.9475779150894</v>
      </c>
      <c r="I50" s="9">
        <v>918.94251191521562</v>
      </c>
      <c r="J50" s="9">
        <v>2134.6213755245767</v>
      </c>
      <c r="K50" s="9">
        <v>1029.6765420015138</v>
      </c>
      <c r="L50" s="49" t="s">
        <v>1164</v>
      </c>
      <c r="M50" s="49" t="s">
        <v>1165</v>
      </c>
      <c r="N50" s="49" t="s">
        <v>1166</v>
      </c>
      <c r="O50" s="49" t="s">
        <v>907</v>
      </c>
      <c r="P50" s="49" t="s">
        <v>1167</v>
      </c>
      <c r="Q50" s="49" t="s">
        <v>1168</v>
      </c>
      <c r="R50" s="30" t="str">
        <f t="shared" si="1"/>
        <v>IL</v>
      </c>
      <c r="S50" s="30" t="str">
        <f t="shared" si="2"/>
        <v>IN</v>
      </c>
      <c r="T50" s="30" t="str">
        <f t="shared" si="3"/>
        <v>MI</v>
      </c>
      <c r="U50" s="30" t="str">
        <f t="shared" si="4"/>
        <v>MN</v>
      </c>
      <c r="V50" s="30" t="str">
        <f t="shared" si="5"/>
        <v>OH</v>
      </c>
      <c r="W50" s="30" t="str">
        <f t="shared" si="6"/>
        <v>WI</v>
      </c>
      <c r="X50" s="30" t="str">
        <f t="shared" si="7"/>
        <v>ILINMIMNOHWI</v>
      </c>
    </row>
    <row r="51" spans="1:54" ht="84.7" x14ac:dyDescent="0.3">
      <c r="A51" s="51" t="str">
        <f>IF(ISNA(VLOOKUP(B51,Shortlist_xref!$A$5:$B$77,2,FALSE))=TRUE,"-",VLOOKUP(B51,Shortlist_xref!$A$5:$B$77,2,FALSE))</f>
        <v>-</v>
      </c>
      <c r="B51" s="3" t="s">
        <v>1014</v>
      </c>
      <c r="C51" s="5" t="s">
        <v>1015</v>
      </c>
      <c r="D51" s="5" t="s">
        <v>329</v>
      </c>
      <c r="E51" s="5" t="s">
        <v>53</v>
      </c>
      <c r="F51" s="9">
        <v>0</v>
      </c>
      <c r="G51" s="9">
        <v>17.040188999999998</v>
      </c>
      <c r="H51" s="9">
        <v>24.751232250000001</v>
      </c>
      <c r="I51" s="9">
        <v>21.049763249999998</v>
      </c>
      <c r="J51" s="9">
        <v>0</v>
      </c>
      <c r="K51" s="9">
        <v>47.087940749999994</v>
      </c>
      <c r="L51" s="49" t="s">
        <v>1164</v>
      </c>
      <c r="M51" s="49" t="s">
        <v>1165</v>
      </c>
      <c r="N51" s="49" t="s">
        <v>1166</v>
      </c>
      <c r="O51" s="49" t="s">
        <v>907</v>
      </c>
      <c r="P51" s="49" t="s">
        <v>1167</v>
      </c>
      <c r="Q51" s="49" t="s">
        <v>1168</v>
      </c>
      <c r="R51" s="30" t="str">
        <f t="shared" si="1"/>
        <v>IL</v>
      </c>
      <c r="S51" s="30" t="str">
        <f t="shared" si="2"/>
        <v>IN</v>
      </c>
      <c r="T51" s="30" t="str">
        <f t="shared" si="3"/>
        <v>MI</v>
      </c>
      <c r="U51" s="30" t="str">
        <f t="shared" si="4"/>
        <v>MN</v>
      </c>
      <c r="V51" s="30" t="str">
        <f t="shared" si="5"/>
        <v>OH</v>
      </c>
      <c r="W51" s="30" t="str">
        <f t="shared" si="6"/>
        <v>WI</v>
      </c>
      <c r="X51" s="30" t="str">
        <f t="shared" si="7"/>
        <v>ILINMIMNOHWI</v>
      </c>
    </row>
    <row r="52" spans="1:54" ht="84.7" x14ac:dyDescent="0.3">
      <c r="A52" s="51" t="str">
        <f>IF(ISNA(VLOOKUP(B52,Shortlist_xref!$A$5:$B$77,2,FALSE))=TRUE,"-",VLOOKUP(B52,Shortlist_xref!$A$5:$B$77,2,FALSE))</f>
        <v>-</v>
      </c>
      <c r="B52" s="3" t="s">
        <v>1019</v>
      </c>
      <c r="C52" s="5" t="s">
        <v>1020</v>
      </c>
      <c r="D52" s="5" t="s">
        <v>329</v>
      </c>
      <c r="E52" s="5" t="s">
        <v>53</v>
      </c>
      <c r="F52" s="9">
        <v>0</v>
      </c>
      <c r="G52" s="9">
        <v>251.93784749999998</v>
      </c>
      <c r="H52" s="9">
        <v>511.50834449999996</v>
      </c>
      <c r="I52" s="9">
        <v>189.1075845</v>
      </c>
      <c r="J52" s="9">
        <v>471.27554924999993</v>
      </c>
      <c r="K52" s="9">
        <v>128.85727724999998</v>
      </c>
      <c r="L52" s="49" t="s">
        <v>1164</v>
      </c>
      <c r="M52" s="49" t="s">
        <v>1165</v>
      </c>
      <c r="N52" s="49" t="s">
        <v>1166</v>
      </c>
      <c r="O52" s="49" t="s">
        <v>907</v>
      </c>
      <c r="P52" s="49" t="s">
        <v>1167</v>
      </c>
      <c r="Q52" s="49" t="s">
        <v>1168</v>
      </c>
      <c r="R52" s="30" t="str">
        <f t="shared" si="1"/>
        <v>IL</v>
      </c>
      <c r="S52" s="30" t="str">
        <f t="shared" si="2"/>
        <v>IN</v>
      </c>
      <c r="T52" s="30" t="str">
        <f t="shared" si="3"/>
        <v>MI</v>
      </c>
      <c r="U52" s="30" t="str">
        <f t="shared" si="4"/>
        <v>MN</v>
      </c>
      <c r="V52" s="30" t="str">
        <f t="shared" si="5"/>
        <v>OH</v>
      </c>
      <c r="W52" s="30" t="str">
        <f t="shared" si="6"/>
        <v>WI</v>
      </c>
      <c r="X52" s="30" t="str">
        <f t="shared" si="7"/>
        <v>ILINMIMNOHWI</v>
      </c>
    </row>
    <row r="53" spans="1:54" ht="84.7" x14ac:dyDescent="0.3">
      <c r="A53" s="51" t="str">
        <f>IF(ISNA(VLOOKUP(B53,Shortlist_xref!$A$5:$B$77,2,FALSE))=TRUE,"-",VLOOKUP(B53,Shortlist_xref!$A$5:$B$77,2,FALSE))</f>
        <v>-</v>
      </c>
      <c r="B53" s="3" t="s">
        <v>1022</v>
      </c>
      <c r="C53" s="5" t="s">
        <v>1023</v>
      </c>
      <c r="D53" s="5" t="s">
        <v>329</v>
      </c>
      <c r="E53" s="5" t="s">
        <v>53</v>
      </c>
      <c r="F53" s="9">
        <v>0</v>
      </c>
      <c r="G53" s="9">
        <v>55.713793500000001</v>
      </c>
      <c r="H53" s="9">
        <v>18.020988750000001</v>
      </c>
      <c r="I53" s="9">
        <v>95.882142000000002</v>
      </c>
      <c r="J53" s="9">
        <v>97.60801124999999</v>
      </c>
      <c r="K53" s="9">
        <v>0</v>
      </c>
      <c r="L53" s="49" t="s">
        <v>1164</v>
      </c>
      <c r="M53" s="49" t="s">
        <v>1165</v>
      </c>
      <c r="N53" s="49" t="s">
        <v>1166</v>
      </c>
      <c r="O53" s="49" t="s">
        <v>907</v>
      </c>
      <c r="P53" s="49" t="s">
        <v>1167</v>
      </c>
      <c r="Q53" s="49" t="s">
        <v>1168</v>
      </c>
      <c r="R53" s="30" t="str">
        <f t="shared" si="1"/>
        <v>IL</v>
      </c>
      <c r="S53" s="30" t="str">
        <f t="shared" si="2"/>
        <v>IN</v>
      </c>
      <c r="T53" s="30" t="str">
        <f t="shared" si="3"/>
        <v>MI</v>
      </c>
      <c r="U53" s="30" t="str">
        <f t="shared" si="4"/>
        <v>MN</v>
      </c>
      <c r="V53" s="30" t="str">
        <f t="shared" si="5"/>
        <v>OH</v>
      </c>
      <c r="W53" s="30" t="str">
        <f t="shared" si="6"/>
        <v>WI</v>
      </c>
      <c r="X53" s="30" t="str">
        <f t="shared" si="7"/>
        <v>ILINMIMNOHWI</v>
      </c>
      <c r="Y53" s="48"/>
      <c r="Z53" s="48"/>
      <c r="AA53" s="48"/>
      <c r="AB53" s="48"/>
      <c r="AC53" s="48"/>
      <c r="AD53" s="48"/>
      <c r="AE53" s="48"/>
      <c r="AF53" s="48"/>
      <c r="AG53" s="48"/>
      <c r="AH53" s="48"/>
      <c r="AI53" s="48"/>
      <c r="AJ53" s="48"/>
      <c r="AK53" s="48"/>
      <c r="AL53" s="48"/>
      <c r="AM53" s="48"/>
      <c r="AN53" s="48"/>
      <c r="AO53" s="48"/>
      <c r="AP53" s="48"/>
      <c r="AQ53" s="48"/>
      <c r="AR53" s="48"/>
      <c r="AS53" s="48"/>
      <c r="AT53" s="48"/>
      <c r="AU53" s="48"/>
      <c r="AV53" s="48"/>
      <c r="AW53" s="48"/>
      <c r="AX53" s="48"/>
      <c r="AY53" s="48"/>
      <c r="AZ53" s="48"/>
      <c r="BA53" s="48"/>
      <c r="BB53" s="48"/>
    </row>
    <row r="54" spans="1:54" ht="84.7" x14ac:dyDescent="0.3">
      <c r="A54" s="51" t="str">
        <f>IF(ISNA(VLOOKUP(B54,Shortlist_xref!$A$5:$B$77,2,FALSE))=TRUE,"-",VLOOKUP(B54,Shortlist_xref!$A$5:$B$77,2,FALSE))</f>
        <v>-</v>
      </c>
      <c r="B54" s="3" t="s">
        <v>1026</v>
      </c>
      <c r="C54" s="5" t="s">
        <v>1027</v>
      </c>
      <c r="D54" s="5" t="s">
        <v>329</v>
      </c>
      <c r="E54" s="5" t="s">
        <v>53</v>
      </c>
      <c r="F54" s="9">
        <v>107.90237325</v>
      </c>
      <c r="G54" s="9">
        <v>336.92802749999998</v>
      </c>
      <c r="H54" s="9">
        <v>1720.9933912499998</v>
      </c>
      <c r="I54" s="9">
        <v>195.38726265</v>
      </c>
      <c r="J54" s="9">
        <v>1031.1626727</v>
      </c>
      <c r="K54" s="9">
        <v>379.97094817499993</v>
      </c>
      <c r="L54" s="49" t="s">
        <v>1164</v>
      </c>
      <c r="M54" s="49" t="s">
        <v>1165</v>
      </c>
      <c r="N54" s="49" t="s">
        <v>1166</v>
      </c>
      <c r="O54" s="49" t="s">
        <v>907</v>
      </c>
      <c r="P54" s="49" t="s">
        <v>1167</v>
      </c>
      <c r="Q54" s="49" t="s">
        <v>1168</v>
      </c>
      <c r="R54" s="30" t="str">
        <f t="shared" si="1"/>
        <v>IL</v>
      </c>
      <c r="S54" s="30" t="str">
        <f t="shared" si="2"/>
        <v>IN</v>
      </c>
      <c r="T54" s="30" t="str">
        <f t="shared" si="3"/>
        <v>MI</v>
      </c>
      <c r="U54" s="30" t="str">
        <f t="shared" si="4"/>
        <v>MN</v>
      </c>
      <c r="V54" s="30" t="str">
        <f t="shared" si="5"/>
        <v>OH</v>
      </c>
      <c r="W54" s="30" t="str">
        <f t="shared" si="6"/>
        <v>WI</v>
      </c>
      <c r="X54" s="30" t="str">
        <f t="shared" si="7"/>
        <v>ILINMIMNOHWI</v>
      </c>
    </row>
    <row r="55" spans="1:54" ht="84.7" x14ac:dyDescent="0.3">
      <c r="A55" s="51" t="str">
        <f>IF(ISNA(VLOOKUP(B55,Shortlist_xref!$A$5:$B$77,2,FALSE))=TRUE,"-",VLOOKUP(B55,Shortlist_xref!$A$5:$B$77,2,FALSE))</f>
        <v>-</v>
      </c>
      <c r="B55" s="3" t="s">
        <v>1029</v>
      </c>
      <c r="C55" s="5" t="s">
        <v>330</v>
      </c>
      <c r="D55" s="5" t="s">
        <v>1030</v>
      </c>
      <c r="E55" s="5" t="s">
        <v>53</v>
      </c>
      <c r="F55" s="9">
        <v>15.947641500000001</v>
      </c>
      <c r="G55" s="9">
        <v>0</v>
      </c>
      <c r="H55" s="9">
        <v>3.2788499999999998E-2</v>
      </c>
      <c r="I55" s="9">
        <v>1.2929999999999999</v>
      </c>
      <c r="J55" s="9">
        <v>10.530077549999998</v>
      </c>
      <c r="K55" s="9">
        <v>2.03769763725</v>
      </c>
      <c r="L55" s="49" t="s">
        <v>1164</v>
      </c>
      <c r="M55" s="49" t="s">
        <v>1165</v>
      </c>
      <c r="N55" s="49" t="s">
        <v>1166</v>
      </c>
      <c r="O55" s="49" t="s">
        <v>907</v>
      </c>
      <c r="P55" s="49" t="s">
        <v>1167</v>
      </c>
      <c r="Q55" s="49" t="s">
        <v>1168</v>
      </c>
      <c r="R55" s="30" t="str">
        <f t="shared" si="1"/>
        <v>IL</v>
      </c>
      <c r="S55" s="30" t="str">
        <f t="shared" si="2"/>
        <v>IN</v>
      </c>
      <c r="T55" s="30" t="str">
        <f t="shared" si="3"/>
        <v>MI</v>
      </c>
      <c r="U55" s="30" t="str">
        <f t="shared" si="4"/>
        <v>MN</v>
      </c>
      <c r="V55" s="30" t="str">
        <f t="shared" si="5"/>
        <v>OH</v>
      </c>
      <c r="W55" s="30" t="str">
        <f t="shared" si="6"/>
        <v>WI</v>
      </c>
      <c r="X55" s="30" t="str">
        <f t="shared" si="7"/>
        <v>ILINMIMNOHWI</v>
      </c>
    </row>
    <row r="56" spans="1:54" ht="84.7" x14ac:dyDescent="0.3">
      <c r="A56" s="51" t="str">
        <f>IF(ISNA(VLOOKUP(B56,Shortlist_xref!$A$5:$B$77,2,FALSE))=TRUE,"-",VLOOKUP(B56,Shortlist_xref!$A$5:$B$77,2,FALSE))</f>
        <v>EmissRed</v>
      </c>
      <c r="B56" s="3" t="s">
        <v>310</v>
      </c>
      <c r="C56" s="5" t="s">
        <v>330</v>
      </c>
      <c r="D56" s="5" t="s">
        <v>331</v>
      </c>
      <c r="E56" s="5" t="s">
        <v>53</v>
      </c>
      <c r="F56" s="9">
        <v>1383.3189550117024</v>
      </c>
      <c r="G56" s="9">
        <v>2136.9702678211052</v>
      </c>
      <c r="H56" s="9">
        <v>2093.7471858658814</v>
      </c>
      <c r="I56" s="9">
        <v>1121.4665799523482</v>
      </c>
      <c r="J56" s="9">
        <v>3653.5744008569095</v>
      </c>
      <c r="K56" s="9">
        <v>857.12518333169521</v>
      </c>
      <c r="L56" s="49" t="s">
        <v>1164</v>
      </c>
      <c r="M56" s="49" t="s">
        <v>1165</v>
      </c>
      <c r="N56" s="49" t="s">
        <v>1166</v>
      </c>
      <c r="O56" s="49" t="s">
        <v>907</v>
      </c>
      <c r="P56" s="49" t="s">
        <v>1167</v>
      </c>
      <c r="Q56" s="49" t="s">
        <v>1168</v>
      </c>
      <c r="R56" s="30" t="str">
        <f t="shared" si="1"/>
        <v>IL</v>
      </c>
      <c r="S56" s="30" t="str">
        <f t="shared" si="2"/>
        <v>IN</v>
      </c>
      <c r="T56" s="30" t="str">
        <f t="shared" si="3"/>
        <v>MI</v>
      </c>
      <c r="U56" s="30" t="str">
        <f t="shared" si="4"/>
        <v>MN</v>
      </c>
      <c r="V56" s="30" t="str">
        <f t="shared" si="5"/>
        <v>OH</v>
      </c>
      <c r="W56" s="30" t="str">
        <f t="shared" si="6"/>
        <v>WI</v>
      </c>
      <c r="X56" s="30" t="str">
        <f t="shared" si="7"/>
        <v>ILINMIMNOHWI</v>
      </c>
    </row>
    <row r="57" spans="1:54" ht="84.7" x14ac:dyDescent="0.3">
      <c r="A57" s="51" t="str">
        <f>IF(ISNA(VLOOKUP(B57,Shortlist_xref!$A$5:$B$77,2,FALSE))=TRUE,"-",VLOOKUP(B57,Shortlist_xref!$A$5:$B$77,2,FALSE))</f>
        <v>-</v>
      </c>
      <c r="B57" s="3" t="s">
        <v>1033</v>
      </c>
      <c r="C57" s="5" t="s">
        <v>1034</v>
      </c>
      <c r="D57" s="5" t="s">
        <v>1034</v>
      </c>
      <c r="E57" s="5" t="s">
        <v>53</v>
      </c>
      <c r="F57" s="9">
        <v>0</v>
      </c>
      <c r="G57" s="9">
        <v>0</v>
      </c>
      <c r="H57" s="9">
        <v>0</v>
      </c>
      <c r="I57" s="9">
        <v>0</v>
      </c>
      <c r="J57" s="9">
        <v>0</v>
      </c>
      <c r="K57" s="9">
        <v>0</v>
      </c>
      <c r="L57" s="49" t="s">
        <v>1164</v>
      </c>
      <c r="M57" s="49" t="s">
        <v>1165</v>
      </c>
      <c r="N57" s="49" t="s">
        <v>1166</v>
      </c>
      <c r="O57" s="49" t="s">
        <v>907</v>
      </c>
      <c r="P57" s="49" t="s">
        <v>1167</v>
      </c>
      <c r="Q57" s="49" t="s">
        <v>1168</v>
      </c>
      <c r="R57" s="30" t="str">
        <f t="shared" si="1"/>
        <v>IL</v>
      </c>
      <c r="S57" s="30" t="str">
        <f t="shared" si="2"/>
        <v>IN</v>
      </c>
      <c r="T57" s="30" t="str">
        <f t="shared" si="3"/>
        <v>MI</v>
      </c>
      <c r="U57" s="30" t="str">
        <f t="shared" si="4"/>
        <v>MN</v>
      </c>
      <c r="V57" s="30" t="str">
        <f t="shared" si="5"/>
        <v>OH</v>
      </c>
      <c r="W57" s="30" t="str">
        <f t="shared" si="6"/>
        <v>WI</v>
      </c>
      <c r="X57" s="30" t="str">
        <f t="shared" si="7"/>
        <v>ILINMIMNOHWI</v>
      </c>
    </row>
    <row r="58" spans="1:54" ht="84.7" x14ac:dyDescent="0.3">
      <c r="A58" s="51" t="str">
        <f>IF(ISNA(VLOOKUP(B58,Shortlist_xref!$A$5:$B$77,2,FALSE))=TRUE,"-",VLOOKUP(B58,Shortlist_xref!$A$5:$B$77,2,FALSE))</f>
        <v>R-Select</v>
      </c>
      <c r="B58" s="3" t="s">
        <v>106</v>
      </c>
      <c r="C58" s="5" t="s">
        <v>107</v>
      </c>
      <c r="D58" s="5" t="s">
        <v>108</v>
      </c>
      <c r="E58" s="5" t="s">
        <v>53</v>
      </c>
      <c r="F58" s="9">
        <v>796.47918215265202</v>
      </c>
      <c r="G58" s="9">
        <v>456.31973516871568</v>
      </c>
      <c r="H58" s="9">
        <v>612.77287212739839</v>
      </c>
      <c r="I58" s="9">
        <v>360.85759758516963</v>
      </c>
      <c r="J58" s="9">
        <v>768.90135106086882</v>
      </c>
      <c r="K58" s="9">
        <v>413.81333622315645</v>
      </c>
      <c r="L58" s="49" t="s">
        <v>1164</v>
      </c>
      <c r="M58" s="49" t="s">
        <v>1165</v>
      </c>
      <c r="N58" s="49" t="s">
        <v>1166</v>
      </c>
      <c r="O58" s="49" t="s">
        <v>907</v>
      </c>
      <c r="P58" s="49" t="s">
        <v>1167</v>
      </c>
      <c r="Q58" s="49" t="s">
        <v>1168</v>
      </c>
      <c r="R58" s="30" t="str">
        <f t="shared" si="1"/>
        <v>IL</v>
      </c>
      <c r="S58" s="30" t="str">
        <f t="shared" si="2"/>
        <v>IN</v>
      </c>
      <c r="T58" s="30" t="str">
        <f t="shared" si="3"/>
        <v>MI</v>
      </c>
      <c r="U58" s="30" t="str">
        <f t="shared" si="4"/>
        <v>MN</v>
      </c>
      <c r="V58" s="30" t="str">
        <f t="shared" si="5"/>
        <v>OH</v>
      </c>
      <c r="W58" s="30" t="str">
        <f t="shared" si="6"/>
        <v>WI</v>
      </c>
      <c r="X58" s="30" t="str">
        <f t="shared" si="7"/>
        <v>ILINMIMNOHWI</v>
      </c>
    </row>
    <row r="59" spans="1:54" ht="84.7" x14ac:dyDescent="0.3">
      <c r="A59" s="51" t="str">
        <f>IF(ISNA(VLOOKUP(B59,Shortlist_xref!$A$5:$B$77,2,FALSE))=TRUE,"-",VLOOKUP(B59,Shortlist_xref!$A$5:$B$77,2,FALSE))</f>
        <v>-</v>
      </c>
      <c r="B59" s="3" t="s">
        <v>1036</v>
      </c>
      <c r="C59" s="5" t="s">
        <v>1037</v>
      </c>
      <c r="D59" s="5" t="s">
        <v>1038</v>
      </c>
      <c r="E59" s="5" t="s">
        <v>53</v>
      </c>
      <c r="F59" s="9">
        <v>0</v>
      </c>
      <c r="G59" s="9">
        <v>0.5090633</v>
      </c>
      <c r="H59" s="9">
        <v>1.3406540170000001</v>
      </c>
      <c r="I59" s="9">
        <v>0.23657188100000001</v>
      </c>
      <c r="J59" s="9">
        <v>2.4761517109999995</v>
      </c>
      <c r="K59" s="9">
        <v>0.11503901699999999</v>
      </c>
      <c r="L59" s="49" t="s">
        <v>1164</v>
      </c>
      <c r="M59" s="49" t="s">
        <v>1165</v>
      </c>
      <c r="N59" s="49" t="s">
        <v>1166</v>
      </c>
      <c r="O59" s="49" t="s">
        <v>907</v>
      </c>
      <c r="P59" s="49" t="s">
        <v>1167</v>
      </c>
      <c r="Q59" s="49" t="s">
        <v>1168</v>
      </c>
      <c r="R59" s="30" t="str">
        <f t="shared" si="1"/>
        <v>IL</v>
      </c>
      <c r="S59" s="30" t="str">
        <f t="shared" si="2"/>
        <v>IN</v>
      </c>
      <c r="T59" s="30" t="str">
        <f t="shared" si="3"/>
        <v>MI</v>
      </c>
      <c r="U59" s="30" t="str">
        <f t="shared" si="4"/>
        <v>MN</v>
      </c>
      <c r="V59" s="30" t="str">
        <f t="shared" si="5"/>
        <v>OH</v>
      </c>
      <c r="W59" s="30" t="str">
        <f t="shared" si="6"/>
        <v>WI</v>
      </c>
      <c r="X59" s="30" t="str">
        <f t="shared" si="7"/>
        <v>ILINMIMNOHWI</v>
      </c>
    </row>
    <row r="60" spans="1:54" ht="84.7" x14ac:dyDescent="0.3">
      <c r="A60" s="51" t="str">
        <f>IF(ISNA(VLOOKUP(B60,Shortlist_xref!$A$5:$B$77,2,FALSE))=TRUE,"-",VLOOKUP(B60,Shortlist_xref!$A$5:$B$77,2,FALSE))</f>
        <v>-</v>
      </c>
      <c r="B60" s="3" t="s">
        <v>1039</v>
      </c>
      <c r="C60" s="5" t="s">
        <v>1040</v>
      </c>
      <c r="D60" s="5" t="s">
        <v>52</v>
      </c>
      <c r="E60" s="5" t="s">
        <v>53</v>
      </c>
      <c r="F60" s="9">
        <v>0</v>
      </c>
      <c r="G60" s="9">
        <v>8.0169525000000004</v>
      </c>
      <c r="H60" s="9">
        <v>4.7566467000000001</v>
      </c>
      <c r="I60" s="9">
        <v>7.7098099500000004</v>
      </c>
      <c r="J60" s="9">
        <v>25.26402105</v>
      </c>
      <c r="K60" s="9">
        <v>0</v>
      </c>
      <c r="L60" s="49" t="s">
        <v>1164</v>
      </c>
      <c r="M60" s="49" t="s">
        <v>1165</v>
      </c>
      <c r="N60" s="49" t="s">
        <v>1166</v>
      </c>
      <c r="O60" s="49" t="s">
        <v>907</v>
      </c>
      <c r="P60" s="49" t="s">
        <v>1167</v>
      </c>
      <c r="Q60" s="49" t="s">
        <v>1168</v>
      </c>
      <c r="R60" s="30" t="str">
        <f t="shared" si="1"/>
        <v>IL</v>
      </c>
      <c r="S60" s="30" t="str">
        <f t="shared" si="2"/>
        <v>IN</v>
      </c>
      <c r="T60" s="30" t="str">
        <f t="shared" si="3"/>
        <v>MI</v>
      </c>
      <c r="U60" s="30" t="str">
        <f t="shared" si="4"/>
        <v>MN</v>
      </c>
      <c r="V60" s="30" t="str">
        <f t="shared" si="5"/>
        <v>OH</v>
      </c>
      <c r="W60" s="30" t="str">
        <f t="shared" si="6"/>
        <v>WI</v>
      </c>
      <c r="X60" s="30" t="str">
        <f t="shared" si="7"/>
        <v>ILINMIMNOHWI</v>
      </c>
    </row>
    <row r="61" spans="1:54" ht="84.7" x14ac:dyDescent="0.3">
      <c r="A61" s="51" t="str">
        <f>IF(ISNA(VLOOKUP(B61,Shortlist_xref!$A$5:$B$77,2,FALSE))=TRUE,"-",VLOOKUP(B61,Shortlist_xref!$A$5:$B$77,2,FALSE))</f>
        <v>-</v>
      </c>
      <c r="B61" s="3" t="s">
        <v>1041</v>
      </c>
      <c r="C61" s="5" t="s">
        <v>1040</v>
      </c>
      <c r="D61" s="5" t="s">
        <v>1042</v>
      </c>
      <c r="E61" s="5" t="s">
        <v>53</v>
      </c>
      <c r="F61" s="9">
        <v>0</v>
      </c>
      <c r="G61" s="9">
        <v>81.951070000000016</v>
      </c>
      <c r="H61" s="9">
        <v>48.623499600000002</v>
      </c>
      <c r="I61" s="9">
        <v>78.81139060000001</v>
      </c>
      <c r="J61" s="9">
        <v>258.25443740000003</v>
      </c>
      <c r="K61" s="9">
        <v>0</v>
      </c>
      <c r="L61" s="49" t="s">
        <v>1164</v>
      </c>
      <c r="M61" s="49" t="s">
        <v>1165</v>
      </c>
      <c r="N61" s="49" t="s">
        <v>1166</v>
      </c>
      <c r="O61" s="49" t="s">
        <v>907</v>
      </c>
      <c r="P61" s="49" t="s">
        <v>1167</v>
      </c>
      <c r="Q61" s="49" t="s">
        <v>1168</v>
      </c>
      <c r="R61" s="30" t="str">
        <f t="shared" si="1"/>
        <v>IL</v>
      </c>
      <c r="S61" s="30" t="str">
        <f t="shared" si="2"/>
        <v>IN</v>
      </c>
      <c r="T61" s="30" t="str">
        <f t="shared" si="3"/>
        <v>MI</v>
      </c>
      <c r="U61" s="30" t="str">
        <f t="shared" si="4"/>
        <v>MN</v>
      </c>
      <c r="V61" s="30" t="str">
        <f t="shared" si="5"/>
        <v>OH</v>
      </c>
      <c r="W61" s="30" t="str">
        <f t="shared" si="6"/>
        <v>WI</v>
      </c>
      <c r="X61" s="30" t="str">
        <f t="shared" si="7"/>
        <v>ILINMIMNOHWI</v>
      </c>
    </row>
    <row r="62" spans="1:54" ht="84.7" x14ac:dyDescent="0.3">
      <c r="A62" s="51" t="str">
        <f>IF(ISNA(VLOOKUP(B62,Shortlist_xref!$A$5:$B$77,2,FALSE))=TRUE,"-",VLOOKUP(B62,Shortlist_xref!$A$5:$B$77,2,FALSE))</f>
        <v>-</v>
      </c>
      <c r="B62" s="3" t="s">
        <v>1043</v>
      </c>
      <c r="C62" s="5" t="s">
        <v>1040</v>
      </c>
      <c r="D62" s="5" t="s">
        <v>1044</v>
      </c>
      <c r="E62" s="5" t="s">
        <v>53</v>
      </c>
      <c r="F62" s="9">
        <v>0</v>
      </c>
      <c r="G62" s="9">
        <v>74.824889999999996</v>
      </c>
      <c r="H62" s="9">
        <v>44.395369199999998</v>
      </c>
      <c r="I62" s="9">
        <v>71.958226199999999</v>
      </c>
      <c r="J62" s="9">
        <v>235.79752979999998</v>
      </c>
      <c r="K62" s="9">
        <v>0</v>
      </c>
      <c r="L62" s="49" t="s">
        <v>1164</v>
      </c>
      <c r="M62" s="49" t="s">
        <v>1165</v>
      </c>
      <c r="N62" s="49" t="s">
        <v>1166</v>
      </c>
      <c r="O62" s="49" t="s">
        <v>907</v>
      </c>
      <c r="P62" s="49" t="s">
        <v>1167</v>
      </c>
      <c r="Q62" s="49" t="s">
        <v>1168</v>
      </c>
      <c r="R62" s="30" t="str">
        <f t="shared" si="1"/>
        <v>IL</v>
      </c>
      <c r="S62" s="30" t="str">
        <f t="shared" si="2"/>
        <v>IN</v>
      </c>
      <c r="T62" s="30" t="str">
        <f t="shared" si="3"/>
        <v>MI</v>
      </c>
      <c r="U62" s="30" t="str">
        <f t="shared" si="4"/>
        <v>MN</v>
      </c>
      <c r="V62" s="30" t="str">
        <f t="shared" si="5"/>
        <v>OH</v>
      </c>
      <c r="W62" s="30" t="str">
        <f t="shared" si="6"/>
        <v>WI</v>
      </c>
      <c r="X62" s="30" t="str">
        <f t="shared" si="7"/>
        <v>ILINMIMNOHWI</v>
      </c>
    </row>
    <row r="63" spans="1:54" ht="84.7" x14ac:dyDescent="0.3">
      <c r="A63" s="51" t="str">
        <f>IF(ISNA(VLOOKUP(B63,Shortlist_xref!$A$5:$B$77,2,FALSE))=TRUE,"-",VLOOKUP(B63,Shortlist_xref!$A$5:$B$77,2,FALSE))</f>
        <v>C-E</v>
      </c>
      <c r="B63" s="3" t="s">
        <v>109</v>
      </c>
      <c r="C63" s="5" t="s">
        <v>110</v>
      </c>
      <c r="D63" s="5" t="s">
        <v>111</v>
      </c>
      <c r="E63" s="5" t="s">
        <v>53</v>
      </c>
      <c r="F63" s="9">
        <v>0</v>
      </c>
      <c r="G63" s="9">
        <v>66.260304599999998</v>
      </c>
      <c r="H63" s="9">
        <v>242.04930371999998</v>
      </c>
      <c r="I63" s="9">
        <v>33.942021120000007</v>
      </c>
      <c r="J63" s="9">
        <v>28.11677778</v>
      </c>
      <c r="K63" s="9">
        <v>72.160075259999999</v>
      </c>
      <c r="L63" s="49" t="s">
        <v>1164</v>
      </c>
      <c r="M63" s="49" t="s">
        <v>1165</v>
      </c>
      <c r="N63" s="49" t="s">
        <v>1166</v>
      </c>
      <c r="O63" s="49" t="s">
        <v>907</v>
      </c>
      <c r="P63" s="49" t="s">
        <v>1167</v>
      </c>
      <c r="Q63" s="49" t="s">
        <v>1168</v>
      </c>
      <c r="R63" s="30" t="str">
        <f t="shared" si="1"/>
        <v>IL</v>
      </c>
      <c r="S63" s="30" t="str">
        <f t="shared" si="2"/>
        <v>IN</v>
      </c>
      <c r="T63" s="30" t="str">
        <f t="shared" si="3"/>
        <v>MI</v>
      </c>
      <c r="U63" s="30" t="str">
        <f t="shared" si="4"/>
        <v>MN</v>
      </c>
      <c r="V63" s="30" t="str">
        <f t="shared" si="5"/>
        <v>OH</v>
      </c>
      <c r="W63" s="30" t="str">
        <f t="shared" si="6"/>
        <v>WI</v>
      </c>
      <c r="X63" s="30" t="str">
        <f t="shared" si="7"/>
        <v>ILINMIMNOHWI</v>
      </c>
    </row>
    <row r="64" spans="1:54" ht="83.95" customHeight="1" x14ac:dyDescent="0.3">
      <c r="A64" s="51" t="str">
        <f>IF(ISNA(VLOOKUP(B64,Shortlist_xref!$A$5:$B$77,2,FALSE))=TRUE,"-",VLOOKUP(B64,Shortlist_xref!$A$5:$B$77,2,FALSE))</f>
        <v>-</v>
      </c>
      <c r="B64" s="3" t="s">
        <v>1045</v>
      </c>
      <c r="C64" s="5" t="s">
        <v>1046</v>
      </c>
      <c r="D64" s="5" t="s">
        <v>112</v>
      </c>
      <c r="E64" s="5" t="s">
        <v>53</v>
      </c>
      <c r="F64" s="9">
        <v>0</v>
      </c>
      <c r="G64" s="9">
        <v>31.086060479999997</v>
      </c>
      <c r="H64" s="9">
        <v>107.79923196</v>
      </c>
      <c r="I64" s="9">
        <v>20.822829479999999</v>
      </c>
      <c r="J64" s="9">
        <v>29.832905700000001</v>
      </c>
      <c r="K64" s="9">
        <v>41.067272160000002</v>
      </c>
      <c r="L64" s="49" t="s">
        <v>1164</v>
      </c>
      <c r="M64" s="49" t="s">
        <v>1165</v>
      </c>
      <c r="N64" s="49" t="s">
        <v>1166</v>
      </c>
      <c r="O64" s="49" t="s">
        <v>907</v>
      </c>
      <c r="P64" s="49" t="s">
        <v>1167</v>
      </c>
      <c r="Q64" s="49" t="s">
        <v>1168</v>
      </c>
      <c r="R64" s="30" t="str">
        <f t="shared" si="1"/>
        <v>IL</v>
      </c>
      <c r="S64" s="30" t="str">
        <f t="shared" si="2"/>
        <v>IN</v>
      </c>
      <c r="T64" s="30" t="str">
        <f t="shared" si="3"/>
        <v>MI</v>
      </c>
      <c r="U64" s="30" t="str">
        <f t="shared" si="4"/>
        <v>MN</v>
      </c>
      <c r="V64" s="30" t="str">
        <f t="shared" si="5"/>
        <v>OH</v>
      </c>
      <c r="W64" s="30" t="str">
        <f t="shared" si="6"/>
        <v>WI</v>
      </c>
      <c r="X64" s="30" t="str">
        <f t="shared" si="7"/>
        <v>ILINMIMNOHWI</v>
      </c>
    </row>
    <row r="65" spans="1:54" ht="84.7" x14ac:dyDescent="0.3">
      <c r="A65" s="51" t="str">
        <f>IF(ISNA(VLOOKUP(B65,Shortlist_xref!$A$5:$B$77,2,FALSE))=TRUE,"-",VLOOKUP(B65,Shortlist_xref!$A$5:$B$77,2,FALSE))</f>
        <v>-</v>
      </c>
      <c r="B65" s="3" t="s">
        <v>1047</v>
      </c>
      <c r="C65" s="5" t="s">
        <v>1048</v>
      </c>
      <c r="D65" s="5" t="s">
        <v>112</v>
      </c>
      <c r="E65" s="5" t="s">
        <v>53</v>
      </c>
      <c r="F65" s="9">
        <v>0</v>
      </c>
      <c r="G65" s="9">
        <v>15.29993088</v>
      </c>
      <c r="H65" s="9">
        <v>0.53835084</v>
      </c>
      <c r="I65" s="9">
        <v>0.183564</v>
      </c>
      <c r="J65" s="9">
        <v>2.8187992800000004</v>
      </c>
      <c r="K65" s="9">
        <v>0.53835084</v>
      </c>
      <c r="L65" s="49" t="s">
        <v>1164</v>
      </c>
      <c r="M65" s="49" t="s">
        <v>1165</v>
      </c>
      <c r="N65" s="49" t="s">
        <v>1166</v>
      </c>
      <c r="O65" s="49" t="s">
        <v>907</v>
      </c>
      <c r="P65" s="49" t="s">
        <v>1167</v>
      </c>
      <c r="Q65" s="49" t="s">
        <v>1168</v>
      </c>
      <c r="R65" s="30" t="str">
        <f t="shared" si="1"/>
        <v>IL</v>
      </c>
      <c r="S65" s="30" t="str">
        <f t="shared" si="2"/>
        <v>IN</v>
      </c>
      <c r="T65" s="30" t="str">
        <f t="shared" si="3"/>
        <v>MI</v>
      </c>
      <c r="U65" s="30" t="str">
        <f t="shared" si="4"/>
        <v>MN</v>
      </c>
      <c r="V65" s="30" t="str">
        <f t="shared" si="5"/>
        <v>OH</v>
      </c>
      <c r="W65" s="30" t="str">
        <f t="shared" si="6"/>
        <v>WI</v>
      </c>
      <c r="X65" s="30" t="str">
        <f t="shared" si="7"/>
        <v>ILINMIMNOHWI</v>
      </c>
    </row>
    <row r="66" spans="1:54" ht="84.7" x14ac:dyDescent="0.3">
      <c r="A66" s="51" t="str">
        <f>IF(ISNA(VLOOKUP(B66,Shortlist_xref!$A$5:$B$77,2,FALSE))=TRUE,"-",VLOOKUP(B66,Shortlist_xref!$A$5:$B$77,2,FALSE))</f>
        <v>-</v>
      </c>
      <c r="B66" s="3" t="s">
        <v>1049</v>
      </c>
      <c r="C66" s="5" t="s">
        <v>1050</v>
      </c>
      <c r="D66" s="5" t="s">
        <v>1051</v>
      </c>
      <c r="E66" s="5" t="s">
        <v>53</v>
      </c>
      <c r="F66" s="9">
        <v>27.335267890000001</v>
      </c>
      <c r="G66" s="9">
        <v>38.538720300000001</v>
      </c>
      <c r="H66" s="9">
        <v>77.552147430000005</v>
      </c>
      <c r="I66" s="9">
        <v>45.442628738000003</v>
      </c>
      <c r="J66" s="9">
        <v>95.231095404000001</v>
      </c>
      <c r="K66" s="9">
        <v>53.348908871000006</v>
      </c>
      <c r="L66" s="49" t="s">
        <v>1164</v>
      </c>
      <c r="M66" s="49" t="s">
        <v>1165</v>
      </c>
      <c r="N66" s="49" t="s">
        <v>1166</v>
      </c>
      <c r="O66" s="49" t="s">
        <v>907</v>
      </c>
      <c r="P66" s="49" t="s">
        <v>1167</v>
      </c>
      <c r="Q66" s="49" t="s">
        <v>1168</v>
      </c>
      <c r="R66" s="30" t="str">
        <f t="shared" si="1"/>
        <v>IL</v>
      </c>
      <c r="S66" s="30" t="str">
        <f t="shared" si="2"/>
        <v>IN</v>
      </c>
      <c r="T66" s="30" t="str">
        <f t="shared" si="3"/>
        <v>MI</v>
      </c>
      <c r="U66" s="30" t="str">
        <f t="shared" si="4"/>
        <v>MN</v>
      </c>
      <c r="V66" s="30" t="str">
        <f t="shared" si="5"/>
        <v>OH</v>
      </c>
      <c r="W66" s="30" t="str">
        <f t="shared" si="6"/>
        <v>WI</v>
      </c>
      <c r="X66" s="30" t="str">
        <f t="shared" si="7"/>
        <v>ILINMIMNOHWI</v>
      </c>
    </row>
    <row r="67" spans="1:54" ht="84.7" x14ac:dyDescent="0.3">
      <c r="A67" s="51" t="str">
        <f>IF(ISNA(VLOOKUP(B67,Shortlist_xref!$A$5:$B$77,2,FALSE))=TRUE,"-",VLOOKUP(B67,Shortlist_xref!$A$5:$B$77,2,FALSE))</f>
        <v>-</v>
      </c>
      <c r="B67" s="3" t="s">
        <v>1052</v>
      </c>
      <c r="C67" s="5" t="s">
        <v>1050</v>
      </c>
      <c r="D67" s="5" t="s">
        <v>1053</v>
      </c>
      <c r="E67" s="5" t="s">
        <v>53</v>
      </c>
      <c r="F67" s="9">
        <v>64.309814457000002</v>
      </c>
      <c r="G67" s="9">
        <v>90.667410390000001</v>
      </c>
      <c r="H67" s="9">
        <v>182.45163105899999</v>
      </c>
      <c r="I67" s="9">
        <v>106.90976339940001</v>
      </c>
      <c r="J67" s="9">
        <v>224.04368234520001</v>
      </c>
      <c r="K67" s="9">
        <v>125.51032771230001</v>
      </c>
      <c r="L67" s="49" t="s">
        <v>1164</v>
      </c>
      <c r="M67" s="49" t="s">
        <v>1165</v>
      </c>
      <c r="N67" s="49" t="s">
        <v>1166</v>
      </c>
      <c r="O67" s="49" t="s">
        <v>907</v>
      </c>
      <c r="P67" s="49" t="s">
        <v>1167</v>
      </c>
      <c r="Q67" s="49" t="s">
        <v>1168</v>
      </c>
      <c r="R67" s="30" t="str">
        <f t="shared" si="1"/>
        <v>IL</v>
      </c>
      <c r="S67" s="30" t="str">
        <f t="shared" si="2"/>
        <v>IN</v>
      </c>
      <c r="T67" s="30" t="str">
        <f t="shared" si="3"/>
        <v>MI</v>
      </c>
      <c r="U67" s="30" t="str">
        <f t="shared" si="4"/>
        <v>MN</v>
      </c>
      <c r="V67" s="30" t="str">
        <f t="shared" si="5"/>
        <v>OH</v>
      </c>
      <c r="W67" s="30" t="str">
        <f t="shared" si="6"/>
        <v>WI</v>
      </c>
      <c r="X67" s="30" t="str">
        <f t="shared" si="7"/>
        <v>ILINMIMNOHWI</v>
      </c>
    </row>
    <row r="68" spans="1:54" ht="84.7" x14ac:dyDescent="0.3">
      <c r="A68" s="51" t="str">
        <f>IF(ISNA(VLOOKUP(B68,Shortlist_xref!$A$5:$B$77,2,FALSE))=TRUE,"-",VLOOKUP(B68,Shortlist_xref!$A$5:$B$77,2,FALSE))</f>
        <v>-</v>
      </c>
      <c r="B68" s="3" t="s">
        <v>1054</v>
      </c>
      <c r="C68" s="5" t="s">
        <v>1055</v>
      </c>
      <c r="D68" s="5" t="s">
        <v>112</v>
      </c>
      <c r="E68" s="5" t="s">
        <v>53</v>
      </c>
      <c r="F68" s="9">
        <v>0</v>
      </c>
      <c r="G68" s="9">
        <v>0</v>
      </c>
      <c r="H68" s="9">
        <v>0</v>
      </c>
      <c r="I68" s="9">
        <v>1.4256000000000001E-2</v>
      </c>
      <c r="J68" s="9">
        <v>1.2096</v>
      </c>
      <c r="K68" s="9">
        <v>6.8905014000000007</v>
      </c>
      <c r="L68" s="49" t="s">
        <v>1164</v>
      </c>
      <c r="M68" s="49" t="s">
        <v>1165</v>
      </c>
      <c r="N68" s="49" t="s">
        <v>1166</v>
      </c>
      <c r="O68" s="49" t="s">
        <v>907</v>
      </c>
      <c r="P68" s="49" t="s">
        <v>1167</v>
      </c>
      <c r="Q68" s="49" t="s">
        <v>1168</v>
      </c>
      <c r="R68" s="30" t="str">
        <f t="shared" si="1"/>
        <v>IL</v>
      </c>
      <c r="S68" s="30" t="str">
        <f t="shared" si="2"/>
        <v>IN</v>
      </c>
      <c r="T68" s="30" t="str">
        <f t="shared" si="3"/>
        <v>MI</v>
      </c>
      <c r="U68" s="30" t="str">
        <f t="shared" si="4"/>
        <v>MN</v>
      </c>
      <c r="V68" s="30" t="str">
        <f t="shared" si="5"/>
        <v>OH</v>
      </c>
      <c r="W68" s="30" t="str">
        <f t="shared" si="6"/>
        <v>WI</v>
      </c>
      <c r="X68" s="30" t="str">
        <f t="shared" si="7"/>
        <v>ILINMIMNOHWI</v>
      </c>
    </row>
    <row r="69" spans="1:54" ht="84.7" x14ac:dyDescent="0.3">
      <c r="A69" s="51" t="str">
        <f>IF(ISNA(VLOOKUP(B69,Shortlist_xref!$A$5:$B$77,2,FALSE))=TRUE,"-",VLOOKUP(B69,Shortlist_xref!$A$5:$B$77,2,FALSE))</f>
        <v>-</v>
      </c>
      <c r="B69" s="3" t="s">
        <v>1057</v>
      </c>
      <c r="C69" s="5" t="s">
        <v>1058</v>
      </c>
      <c r="D69" s="5" t="s">
        <v>1044</v>
      </c>
      <c r="E69" s="5" t="s">
        <v>53</v>
      </c>
      <c r="F69" s="9">
        <v>0</v>
      </c>
      <c r="G69" s="9">
        <v>9.8833096200000004</v>
      </c>
      <c r="H69" s="9">
        <v>14.355714705</v>
      </c>
      <c r="I69" s="9">
        <v>12.208862684999998</v>
      </c>
      <c r="J69" s="9">
        <v>0</v>
      </c>
      <c r="K69" s="9">
        <v>27.311005635000001</v>
      </c>
      <c r="L69" s="49" t="s">
        <v>1164</v>
      </c>
      <c r="M69" s="49" t="s">
        <v>1165</v>
      </c>
      <c r="N69" s="49" t="s">
        <v>1166</v>
      </c>
      <c r="O69" s="49" t="s">
        <v>907</v>
      </c>
      <c r="P69" s="49" t="s">
        <v>1167</v>
      </c>
      <c r="Q69" s="49" t="s">
        <v>1168</v>
      </c>
      <c r="R69" s="30" t="str">
        <f t="shared" ref="R69:R107" si="8">IF(L69="","",HLOOKUP(L$2,$R$1:$W$2,2,FALSE))</f>
        <v>IL</v>
      </c>
      <c r="S69" s="30" t="str">
        <f t="shared" ref="S69:S107" si="9">IF(M69="","",HLOOKUP(M$2,$R$1:$W$2,2,FALSE))</f>
        <v>IN</v>
      </c>
      <c r="T69" s="30" t="str">
        <f t="shared" ref="T69:T107" si="10">IF(N69="","",HLOOKUP(N$2,$R$1:$W$2,2,FALSE))</f>
        <v>MI</v>
      </c>
      <c r="U69" s="30" t="str">
        <f t="shared" ref="U69:U107" si="11">IF(O69="","",HLOOKUP(O$2,$R$1:$W$2,2,FALSE))</f>
        <v>MN</v>
      </c>
      <c r="V69" s="30" t="str">
        <f t="shared" ref="V69:V107" si="12">IF(P69="","",HLOOKUP(P$2,$R$1:$W$2,2,FALSE))</f>
        <v>OH</v>
      </c>
      <c r="W69" s="30" t="str">
        <f t="shared" ref="W69:W107" si="13">IF(Q69="","",HLOOKUP(Q$2,$R$1:$W$2,2,FALSE))</f>
        <v>WI</v>
      </c>
      <c r="X69" s="30" t="str">
        <f t="shared" ref="X69:X107" si="14">R69&amp;S69&amp;T69&amp;U69&amp;V69&amp;W69</f>
        <v>ILINMIMNOHWI</v>
      </c>
    </row>
    <row r="70" spans="1:54" ht="84.7" x14ac:dyDescent="0.3">
      <c r="A70" s="51" t="str">
        <f>IF(ISNA(VLOOKUP(B70,Shortlist_xref!$A$5:$B$77,2,FALSE))=TRUE,"-",VLOOKUP(B70,Shortlist_xref!$A$5:$B$77,2,FALSE))</f>
        <v>-</v>
      </c>
      <c r="B70" s="3" t="s">
        <v>113</v>
      </c>
      <c r="C70" s="5" t="s">
        <v>1059</v>
      </c>
      <c r="D70" s="5" t="s">
        <v>1038</v>
      </c>
      <c r="E70" s="5" t="s">
        <v>53</v>
      </c>
      <c r="F70" s="9">
        <v>0</v>
      </c>
      <c r="G70" s="9">
        <v>0</v>
      </c>
      <c r="H70" s="9">
        <v>6.5917080479999992</v>
      </c>
      <c r="I70" s="9">
        <v>27.692187480000001</v>
      </c>
      <c r="J70" s="9">
        <v>40.185578400000004</v>
      </c>
      <c r="K70" s="9">
        <v>28.365421332</v>
      </c>
      <c r="L70" s="49" t="s">
        <v>1164</v>
      </c>
      <c r="M70" s="49" t="s">
        <v>1165</v>
      </c>
      <c r="N70" s="49" t="s">
        <v>1166</v>
      </c>
      <c r="O70" s="49" t="s">
        <v>907</v>
      </c>
      <c r="P70" s="49" t="s">
        <v>1167</v>
      </c>
      <c r="Q70" s="49" t="s">
        <v>1168</v>
      </c>
      <c r="R70" s="30" t="str">
        <f t="shared" si="8"/>
        <v>IL</v>
      </c>
      <c r="S70" s="30" t="str">
        <f t="shared" si="9"/>
        <v>IN</v>
      </c>
      <c r="T70" s="30" t="str">
        <f t="shared" si="10"/>
        <v>MI</v>
      </c>
      <c r="U70" s="30" t="str">
        <f t="shared" si="11"/>
        <v>MN</v>
      </c>
      <c r="V70" s="30" t="str">
        <f t="shared" si="12"/>
        <v>OH</v>
      </c>
      <c r="W70" s="30" t="str">
        <f t="shared" si="13"/>
        <v>WI</v>
      </c>
      <c r="X70" s="30" t="str">
        <f t="shared" si="14"/>
        <v>ILINMIMNOHWI</v>
      </c>
    </row>
    <row r="71" spans="1:54" ht="84.7" x14ac:dyDescent="0.3">
      <c r="A71" s="51" t="str">
        <f>IF(ISNA(VLOOKUP(B71,Shortlist_xref!$A$5:$B$77,2,FALSE))=TRUE,"-",VLOOKUP(B71,Shortlist_xref!$A$5:$B$77,2,FALSE))</f>
        <v>-</v>
      </c>
      <c r="B71" s="3" t="s">
        <v>1060</v>
      </c>
      <c r="C71" s="5" t="s">
        <v>1059</v>
      </c>
      <c r="D71" s="5" t="s">
        <v>1061</v>
      </c>
      <c r="E71" s="5" t="s">
        <v>53</v>
      </c>
      <c r="F71" s="9">
        <v>0</v>
      </c>
      <c r="G71" s="9">
        <v>0</v>
      </c>
      <c r="H71" s="9">
        <v>17.577888128000001</v>
      </c>
      <c r="I71" s="9">
        <v>73.845833280000008</v>
      </c>
      <c r="J71" s="9">
        <v>107.16154240000002</v>
      </c>
      <c r="K71" s="9">
        <v>75.64112355200001</v>
      </c>
      <c r="L71" s="49" t="s">
        <v>1164</v>
      </c>
      <c r="M71" s="49" t="s">
        <v>1165</v>
      </c>
      <c r="N71" s="49" t="s">
        <v>1166</v>
      </c>
      <c r="O71" s="49" t="s">
        <v>907</v>
      </c>
      <c r="P71" s="49" t="s">
        <v>1167</v>
      </c>
      <c r="Q71" s="49" t="s">
        <v>1168</v>
      </c>
      <c r="R71" s="30" t="str">
        <f t="shared" si="8"/>
        <v>IL</v>
      </c>
      <c r="S71" s="30" t="str">
        <f t="shared" si="9"/>
        <v>IN</v>
      </c>
      <c r="T71" s="30" t="str">
        <f t="shared" si="10"/>
        <v>MI</v>
      </c>
      <c r="U71" s="30" t="str">
        <f t="shared" si="11"/>
        <v>MN</v>
      </c>
      <c r="V71" s="30" t="str">
        <f t="shared" si="12"/>
        <v>OH</v>
      </c>
      <c r="W71" s="30" t="str">
        <f t="shared" si="13"/>
        <v>WI</v>
      </c>
      <c r="X71" s="30" t="str">
        <f t="shared" si="14"/>
        <v>ILINMIMNOHWI</v>
      </c>
    </row>
    <row r="72" spans="1:54" ht="84.7" x14ac:dyDescent="0.3">
      <c r="A72" s="51" t="str">
        <f>IF(ISNA(VLOOKUP(B72,Shortlist_xref!$A$5:$B$77,2,FALSE))=TRUE,"-",VLOOKUP(B72,Shortlist_xref!$A$5:$B$77,2,FALSE))</f>
        <v>-</v>
      </c>
      <c r="B72" s="3" t="s">
        <v>1062</v>
      </c>
      <c r="C72" s="5" t="s">
        <v>1063</v>
      </c>
      <c r="D72" s="5" t="s">
        <v>991</v>
      </c>
      <c r="E72" s="5" t="s">
        <v>53</v>
      </c>
      <c r="F72" s="9">
        <v>0</v>
      </c>
      <c r="G72" s="9">
        <v>8.462169375000002</v>
      </c>
      <c r="H72" s="9">
        <v>6.9775192080000012</v>
      </c>
      <c r="I72" s="9">
        <v>0</v>
      </c>
      <c r="J72" s="9">
        <v>5.0719681980000004</v>
      </c>
      <c r="K72" s="9">
        <v>0</v>
      </c>
      <c r="L72" s="49" t="s">
        <v>1164</v>
      </c>
      <c r="M72" s="49" t="s">
        <v>1165</v>
      </c>
      <c r="N72" s="49" t="s">
        <v>1166</v>
      </c>
      <c r="O72" s="49" t="s">
        <v>907</v>
      </c>
      <c r="P72" s="49" t="s">
        <v>1167</v>
      </c>
      <c r="Q72" s="49" t="s">
        <v>1168</v>
      </c>
      <c r="R72" s="30" t="str">
        <f t="shared" si="8"/>
        <v>IL</v>
      </c>
      <c r="S72" s="30" t="str">
        <f t="shared" si="9"/>
        <v>IN</v>
      </c>
      <c r="T72" s="30" t="str">
        <f t="shared" si="10"/>
        <v>MI</v>
      </c>
      <c r="U72" s="30" t="str">
        <f t="shared" si="11"/>
        <v>MN</v>
      </c>
      <c r="V72" s="30" t="str">
        <f t="shared" si="12"/>
        <v>OH</v>
      </c>
      <c r="W72" s="30" t="str">
        <f t="shared" si="13"/>
        <v>WI</v>
      </c>
      <c r="X72" s="30" t="str">
        <f t="shared" si="14"/>
        <v>ILINMIMNOHWI</v>
      </c>
      <c r="Y72" s="48"/>
      <c r="Z72" s="48"/>
      <c r="AA72" s="48"/>
      <c r="AB72" s="48"/>
      <c r="AC72" s="48"/>
      <c r="AD72" s="48"/>
      <c r="AE72" s="48"/>
      <c r="AF72" s="48"/>
      <c r="AG72" s="48"/>
      <c r="AH72" s="48"/>
      <c r="AI72" s="48"/>
      <c r="AJ72" s="48"/>
      <c r="AK72" s="48"/>
      <c r="AL72" s="48"/>
      <c r="AM72" s="48"/>
      <c r="AN72" s="48"/>
      <c r="AO72" s="48"/>
      <c r="AP72" s="48"/>
      <c r="AQ72" s="48"/>
      <c r="AR72" s="48"/>
      <c r="AS72" s="48"/>
      <c r="AT72" s="48"/>
      <c r="AU72" s="48"/>
      <c r="AV72" s="48"/>
      <c r="AW72" s="48"/>
      <c r="AX72" s="48"/>
      <c r="AY72" s="48"/>
      <c r="AZ72" s="48"/>
      <c r="BA72" s="48"/>
      <c r="BB72" s="48"/>
    </row>
    <row r="73" spans="1:54" ht="84.7" x14ac:dyDescent="0.3">
      <c r="A73" s="51" t="str">
        <f>IF(ISNA(VLOOKUP(B73,Shortlist_xref!$A$5:$B$77,2,FALSE))=TRUE,"-",VLOOKUP(B73,Shortlist_xref!$A$5:$B$77,2,FALSE))</f>
        <v>-</v>
      </c>
      <c r="B73" s="3" t="s">
        <v>114</v>
      </c>
      <c r="C73" s="5" t="s">
        <v>1063</v>
      </c>
      <c r="D73" s="5" t="s">
        <v>1044</v>
      </c>
      <c r="E73" s="5" t="s">
        <v>53</v>
      </c>
      <c r="F73" s="9">
        <v>0</v>
      </c>
      <c r="G73" s="9">
        <v>20.514350000000004</v>
      </c>
      <c r="H73" s="9">
        <v>16.915198080000003</v>
      </c>
      <c r="I73" s="9">
        <v>0</v>
      </c>
      <c r="J73" s="9">
        <v>12.295680480000001</v>
      </c>
      <c r="K73" s="9">
        <v>0</v>
      </c>
      <c r="L73" s="49" t="s">
        <v>1164</v>
      </c>
      <c r="M73" s="49" t="s">
        <v>1165</v>
      </c>
      <c r="N73" s="49" t="s">
        <v>1166</v>
      </c>
      <c r="O73" s="49" t="s">
        <v>907</v>
      </c>
      <c r="P73" s="49" t="s">
        <v>1167</v>
      </c>
      <c r="Q73" s="49" t="s">
        <v>1168</v>
      </c>
      <c r="R73" s="30" t="str">
        <f t="shared" si="8"/>
        <v>IL</v>
      </c>
      <c r="S73" s="30" t="str">
        <f t="shared" si="9"/>
        <v>IN</v>
      </c>
      <c r="T73" s="30" t="str">
        <f t="shared" si="10"/>
        <v>MI</v>
      </c>
      <c r="U73" s="30" t="str">
        <f t="shared" si="11"/>
        <v>MN</v>
      </c>
      <c r="V73" s="30" t="str">
        <f t="shared" si="12"/>
        <v>OH</v>
      </c>
      <c r="W73" s="30" t="str">
        <f t="shared" si="13"/>
        <v>WI</v>
      </c>
      <c r="X73" s="30" t="str">
        <f t="shared" si="14"/>
        <v>ILINMIMNOHWI</v>
      </c>
    </row>
    <row r="74" spans="1:54" ht="84.7" x14ac:dyDescent="0.3">
      <c r="A74" s="51" t="str">
        <f>IF(ISNA(VLOOKUP(B74,Shortlist_xref!$A$5:$B$77,2,FALSE))=TRUE,"-",VLOOKUP(B74,Shortlist_xref!$A$5:$B$77,2,FALSE))</f>
        <v>C-E</v>
      </c>
      <c r="B74" s="3" t="s">
        <v>312</v>
      </c>
      <c r="C74" s="5" t="s">
        <v>115</v>
      </c>
      <c r="D74" s="5" t="s">
        <v>335</v>
      </c>
      <c r="E74" s="5" t="s">
        <v>53</v>
      </c>
      <c r="F74" s="9">
        <v>11.222622976</v>
      </c>
      <c r="G74" s="9">
        <v>21.762677119999999</v>
      </c>
      <c r="H74" s="9">
        <v>44.316789580800005</v>
      </c>
      <c r="I74" s="9">
        <v>17.598773120000001</v>
      </c>
      <c r="J74" s="9">
        <v>12.891580167040003</v>
      </c>
      <c r="K74" s="9">
        <v>27.089586174720004</v>
      </c>
      <c r="L74" s="49" t="s">
        <v>1164</v>
      </c>
      <c r="M74" s="49" t="s">
        <v>1165</v>
      </c>
      <c r="N74" s="49" t="s">
        <v>1166</v>
      </c>
      <c r="O74" s="49" t="s">
        <v>907</v>
      </c>
      <c r="P74" s="49" t="s">
        <v>1167</v>
      </c>
      <c r="Q74" s="49" t="s">
        <v>1168</v>
      </c>
      <c r="R74" s="30" t="str">
        <f t="shared" si="8"/>
        <v>IL</v>
      </c>
      <c r="S74" s="30" t="str">
        <f t="shared" si="9"/>
        <v>IN</v>
      </c>
      <c r="T74" s="30" t="str">
        <f t="shared" si="10"/>
        <v>MI</v>
      </c>
      <c r="U74" s="30" t="str">
        <f t="shared" si="11"/>
        <v>MN</v>
      </c>
      <c r="V74" s="30" t="str">
        <f t="shared" si="12"/>
        <v>OH</v>
      </c>
      <c r="W74" s="30" t="str">
        <f t="shared" si="13"/>
        <v>WI</v>
      </c>
      <c r="X74" s="30" t="str">
        <f t="shared" si="14"/>
        <v>ILINMIMNOHWI</v>
      </c>
    </row>
    <row r="75" spans="1:54" ht="84.7" x14ac:dyDescent="0.3">
      <c r="A75" s="51" t="str">
        <f>IF(ISNA(VLOOKUP(B75,Shortlist_xref!$A$5:$B$77,2,FALSE))=TRUE,"-",VLOOKUP(B75,Shortlist_xref!$A$5:$B$77,2,FALSE))</f>
        <v>-</v>
      </c>
      <c r="B75" s="3" t="s">
        <v>1068</v>
      </c>
      <c r="C75" s="5" t="s">
        <v>1069</v>
      </c>
      <c r="D75" s="5" t="s">
        <v>1070</v>
      </c>
      <c r="E75" s="5" t="s">
        <v>53</v>
      </c>
      <c r="F75" s="9">
        <v>6.1373719399999995</v>
      </c>
      <c r="G75" s="9">
        <v>11.901464049999998</v>
      </c>
      <c r="H75" s="9">
        <v>24.235744302000001</v>
      </c>
      <c r="I75" s="9">
        <v>9.6243290499999983</v>
      </c>
      <c r="J75" s="9">
        <v>7.0500829038499999</v>
      </c>
      <c r="K75" s="9">
        <v>14.814617439300001</v>
      </c>
      <c r="L75" s="49" t="s">
        <v>1164</v>
      </c>
      <c r="M75" s="49" t="s">
        <v>1165</v>
      </c>
      <c r="N75" s="49" t="s">
        <v>1166</v>
      </c>
      <c r="O75" s="49" t="s">
        <v>907</v>
      </c>
      <c r="P75" s="49" t="s">
        <v>1167</v>
      </c>
      <c r="Q75" s="49" t="s">
        <v>1168</v>
      </c>
      <c r="R75" s="30" t="str">
        <f t="shared" si="8"/>
        <v>IL</v>
      </c>
      <c r="S75" s="30" t="str">
        <f t="shared" si="9"/>
        <v>IN</v>
      </c>
      <c r="T75" s="30" t="str">
        <f t="shared" si="10"/>
        <v>MI</v>
      </c>
      <c r="U75" s="30" t="str">
        <f t="shared" si="11"/>
        <v>MN</v>
      </c>
      <c r="V75" s="30" t="str">
        <f t="shared" si="12"/>
        <v>OH</v>
      </c>
      <c r="W75" s="30" t="str">
        <f t="shared" si="13"/>
        <v>WI</v>
      </c>
      <c r="X75" s="30" t="str">
        <f t="shared" si="14"/>
        <v>ILINMIMNOHWI</v>
      </c>
    </row>
    <row r="76" spans="1:54" ht="84.7" x14ac:dyDescent="0.3">
      <c r="A76" s="51" t="str">
        <f>IF(ISNA(VLOOKUP(B76,Shortlist_xref!$A$5:$B$77,2,FALSE))=TRUE,"-",VLOOKUP(B76,Shortlist_xref!$A$5:$B$77,2,FALSE))</f>
        <v>C-E</v>
      </c>
      <c r="B76" s="3" t="s">
        <v>116</v>
      </c>
      <c r="C76" s="5" t="s">
        <v>115</v>
      </c>
      <c r="D76" s="5" t="s">
        <v>117</v>
      </c>
      <c r="E76" s="5" t="s">
        <v>53</v>
      </c>
      <c r="F76" s="9">
        <v>11.222622976</v>
      </c>
      <c r="G76" s="9">
        <v>21.762677119999999</v>
      </c>
      <c r="H76" s="9">
        <v>44.316789580800005</v>
      </c>
      <c r="I76" s="9">
        <v>17.598773120000001</v>
      </c>
      <c r="J76" s="9">
        <v>12.891580167040003</v>
      </c>
      <c r="K76" s="9">
        <v>27.089586174720004</v>
      </c>
      <c r="L76" s="49" t="s">
        <v>1164</v>
      </c>
      <c r="M76" s="49" t="s">
        <v>1165</v>
      </c>
      <c r="N76" s="49" t="s">
        <v>1166</v>
      </c>
      <c r="O76" s="49" t="s">
        <v>907</v>
      </c>
      <c r="P76" s="49" t="s">
        <v>1167</v>
      </c>
      <c r="Q76" s="49" t="s">
        <v>1168</v>
      </c>
      <c r="R76" s="30" t="str">
        <f t="shared" si="8"/>
        <v>IL</v>
      </c>
      <c r="S76" s="30" t="str">
        <f t="shared" si="9"/>
        <v>IN</v>
      </c>
      <c r="T76" s="30" t="str">
        <f t="shared" si="10"/>
        <v>MI</v>
      </c>
      <c r="U76" s="30" t="str">
        <f t="shared" si="11"/>
        <v>MN</v>
      </c>
      <c r="V76" s="30" t="str">
        <f t="shared" si="12"/>
        <v>OH</v>
      </c>
      <c r="W76" s="30" t="str">
        <f t="shared" si="13"/>
        <v>WI</v>
      </c>
      <c r="X76" s="30" t="str">
        <f t="shared" si="14"/>
        <v>ILINMIMNOHWI</v>
      </c>
    </row>
    <row r="77" spans="1:54" ht="181.45" x14ac:dyDescent="0.3">
      <c r="A77" s="51" t="str">
        <f>IF(ISNA(VLOOKUP(B77,Shortlist_xref!$A$5:$B$77,2,FALSE))=TRUE,"-",VLOOKUP(B77,Shortlist_xref!$A$5:$B$77,2,FALSE))</f>
        <v>C-E</v>
      </c>
      <c r="B77" s="3" t="s">
        <v>118</v>
      </c>
      <c r="C77" s="5" t="s">
        <v>119</v>
      </c>
      <c r="D77" s="5" t="s">
        <v>120</v>
      </c>
      <c r="E77" s="5" t="s">
        <v>53</v>
      </c>
      <c r="F77" s="9">
        <v>21.838065524000001</v>
      </c>
      <c r="G77" s="9">
        <v>15.950695499999998</v>
      </c>
      <c r="H77" s="9">
        <v>31.508914593168697</v>
      </c>
      <c r="I77" s="9">
        <v>23.740336380000002</v>
      </c>
      <c r="J77" s="9">
        <v>9.3715273999999997</v>
      </c>
      <c r="K77" s="9">
        <v>70.430369436932025</v>
      </c>
      <c r="L77" s="49" t="s">
        <v>599</v>
      </c>
      <c r="M77" s="49" t="s">
        <v>599</v>
      </c>
      <c r="N77" s="49">
        <v>0</v>
      </c>
      <c r="O77" s="49">
        <v>0</v>
      </c>
      <c r="P77" s="49">
        <v>0</v>
      </c>
      <c r="Q77" s="49" t="s">
        <v>1169</v>
      </c>
      <c r="R77" s="30" t="str">
        <f t="shared" si="8"/>
        <v>IL</v>
      </c>
      <c r="S77" s="30" t="str">
        <f t="shared" si="9"/>
        <v>IN</v>
      </c>
      <c r="T77" s="30" t="str">
        <f t="shared" si="10"/>
        <v>MI</v>
      </c>
      <c r="U77" s="30" t="str">
        <f t="shared" si="11"/>
        <v>MN</v>
      </c>
      <c r="V77" s="30" t="str">
        <f t="shared" si="12"/>
        <v>OH</v>
      </c>
      <c r="W77" s="30" t="str">
        <f t="shared" si="13"/>
        <v>WI</v>
      </c>
      <c r="X77" s="30" t="str">
        <f t="shared" si="14"/>
        <v>ILINMIMNOHWI</v>
      </c>
    </row>
    <row r="78" spans="1:54" ht="181.45" x14ac:dyDescent="0.3">
      <c r="A78" s="51" t="str">
        <f>IF(ISNA(VLOOKUP(B78,Shortlist_xref!$A$5:$B$77,2,FALSE))=TRUE,"-",VLOOKUP(B78,Shortlist_xref!$A$5:$B$77,2,FALSE))</f>
        <v>-</v>
      </c>
      <c r="B78" s="3" t="s">
        <v>1072</v>
      </c>
      <c r="C78" s="5" t="s">
        <v>1073</v>
      </c>
      <c r="D78" s="5" t="s">
        <v>1074</v>
      </c>
      <c r="E78" s="5" t="s">
        <v>53</v>
      </c>
      <c r="F78" s="9">
        <v>19.747186910000003</v>
      </c>
      <c r="G78" s="9">
        <v>14.423501249999999</v>
      </c>
      <c r="H78" s="9">
        <v>28.492103621482332</v>
      </c>
      <c r="I78" s="9">
        <v>21.467325450000001</v>
      </c>
      <c r="J78" s="9">
        <v>8.4742535000000014</v>
      </c>
      <c r="K78" s="9">
        <v>63.687036192970446</v>
      </c>
      <c r="L78" s="49" t="s">
        <v>599</v>
      </c>
      <c r="M78" s="49" t="s">
        <v>599</v>
      </c>
      <c r="N78" s="51">
        <v>0</v>
      </c>
      <c r="O78" s="51">
        <v>0</v>
      </c>
      <c r="P78" s="51">
        <v>0</v>
      </c>
      <c r="Q78" s="49" t="s">
        <v>1169</v>
      </c>
      <c r="R78" s="30" t="str">
        <f t="shared" si="8"/>
        <v>IL</v>
      </c>
      <c r="S78" s="30" t="str">
        <f t="shared" si="9"/>
        <v>IN</v>
      </c>
      <c r="T78" s="30" t="str">
        <f t="shared" si="10"/>
        <v>MI</v>
      </c>
      <c r="U78" s="30" t="str">
        <f t="shared" si="11"/>
        <v>MN</v>
      </c>
      <c r="V78" s="30" t="str">
        <f t="shared" si="12"/>
        <v>OH</v>
      </c>
      <c r="W78" s="30" t="str">
        <f t="shared" si="13"/>
        <v>WI</v>
      </c>
      <c r="X78" s="30" t="str">
        <f t="shared" si="14"/>
        <v>ILINMIMNOHWI</v>
      </c>
      <c r="Y78" s="48"/>
      <c r="Z78" s="48"/>
      <c r="AA78" s="48"/>
      <c r="AB78" s="48"/>
      <c r="AC78" s="48"/>
      <c r="AD78" s="48"/>
      <c r="AE78" s="48"/>
      <c r="AF78" s="48"/>
      <c r="AG78" s="48"/>
      <c r="AH78" s="48"/>
      <c r="AI78" s="48"/>
      <c r="AJ78" s="48"/>
      <c r="AK78" s="48"/>
      <c r="AL78" s="48"/>
      <c r="AM78" s="48"/>
      <c r="AN78" s="48"/>
      <c r="AO78" s="48"/>
      <c r="AP78" s="48"/>
      <c r="AQ78" s="48"/>
      <c r="AR78" s="48"/>
      <c r="AS78" s="48"/>
      <c r="AT78" s="48"/>
      <c r="AU78" s="48"/>
      <c r="AV78" s="48"/>
      <c r="AW78" s="48"/>
      <c r="AX78" s="48"/>
      <c r="AY78" s="48"/>
      <c r="AZ78" s="48"/>
      <c r="BA78" s="48"/>
      <c r="BB78" s="48"/>
    </row>
    <row r="79" spans="1:54" ht="181.45" x14ac:dyDescent="0.3">
      <c r="A79" s="51" t="str">
        <f>IF(ISNA(VLOOKUP(B79,Shortlist_xref!$A$5:$B$77,2,FALSE))=TRUE,"-",VLOOKUP(B79,Shortlist_xref!$A$5:$B$77,2,FALSE))</f>
        <v>-</v>
      </c>
      <c r="B79" s="3" t="s">
        <v>1075</v>
      </c>
      <c r="C79" s="5" t="s">
        <v>1073</v>
      </c>
      <c r="D79" s="5" t="s">
        <v>1076</v>
      </c>
      <c r="E79" s="5" t="s">
        <v>53</v>
      </c>
      <c r="F79" s="9">
        <v>0</v>
      </c>
      <c r="G79" s="9">
        <v>54.544578691583055</v>
      </c>
      <c r="H79" s="9">
        <v>138.4715809328047</v>
      </c>
      <c r="I79" s="9">
        <v>218.29781324135843</v>
      </c>
      <c r="J79" s="9">
        <v>66.10073289871282</v>
      </c>
      <c r="K79" s="9">
        <v>130.36775265092868</v>
      </c>
      <c r="L79" s="49" t="s">
        <v>599</v>
      </c>
      <c r="M79" s="49" t="s">
        <v>599</v>
      </c>
      <c r="N79" s="51">
        <v>0</v>
      </c>
      <c r="O79" s="51">
        <v>0</v>
      </c>
      <c r="P79" s="51">
        <v>0</v>
      </c>
      <c r="Q79" s="49" t="s">
        <v>1169</v>
      </c>
      <c r="R79" s="30" t="str">
        <f t="shared" si="8"/>
        <v>IL</v>
      </c>
      <c r="S79" s="30" t="str">
        <f t="shared" si="9"/>
        <v>IN</v>
      </c>
      <c r="T79" s="30" t="str">
        <f t="shared" si="10"/>
        <v>MI</v>
      </c>
      <c r="U79" s="30" t="str">
        <f t="shared" si="11"/>
        <v>MN</v>
      </c>
      <c r="V79" s="30" t="str">
        <f t="shared" si="12"/>
        <v>OH</v>
      </c>
      <c r="W79" s="30" t="str">
        <f t="shared" si="13"/>
        <v>WI</v>
      </c>
      <c r="X79" s="30" t="str">
        <f t="shared" si="14"/>
        <v>ILINMIMNOHWI</v>
      </c>
    </row>
    <row r="80" spans="1:54" x14ac:dyDescent="0.3">
      <c r="A80" s="119" t="str">
        <f>Nonpoint_options!A79</f>
        <v>Oil and Gas</v>
      </c>
      <c r="B80" s="87"/>
      <c r="C80" s="85"/>
      <c r="D80" s="26"/>
      <c r="E80" s="26"/>
      <c r="F80" s="46"/>
      <c r="G80" s="46"/>
      <c r="H80" s="46"/>
      <c r="I80" s="46"/>
      <c r="J80" s="46"/>
      <c r="K80" s="46"/>
      <c r="L80" s="47"/>
      <c r="M80" s="47"/>
      <c r="N80" s="47"/>
      <c r="O80" s="47"/>
      <c r="P80" s="47"/>
      <c r="Q80" s="47"/>
      <c r="R80" s="30" t="str">
        <f t="shared" si="8"/>
        <v/>
      </c>
      <c r="S80" s="30" t="str">
        <f t="shared" si="9"/>
        <v/>
      </c>
      <c r="T80" s="30" t="str">
        <f t="shared" si="10"/>
        <v/>
      </c>
      <c r="U80" s="30" t="str">
        <f t="shared" si="11"/>
        <v/>
      </c>
      <c r="V80" s="30" t="str">
        <f t="shared" si="12"/>
        <v/>
      </c>
      <c r="W80" s="30" t="str">
        <f t="shared" si="13"/>
        <v/>
      </c>
      <c r="X80" s="30" t="str">
        <f t="shared" si="14"/>
        <v/>
      </c>
    </row>
    <row r="81" spans="1:54" ht="48.4" x14ac:dyDescent="0.3">
      <c r="A81" s="51" t="str">
        <f>IF(ISNA(VLOOKUP(B81,Shortlist_xref!$A$5:$B$77,2,FALSE))=TRUE,"-",VLOOKUP(B81,Shortlist_xref!$A$5:$B$77,2,FALSE))</f>
        <v>-</v>
      </c>
      <c r="B81" s="3" t="s">
        <v>1079</v>
      </c>
      <c r="C81" s="5" t="s">
        <v>1080</v>
      </c>
      <c r="D81" s="5" t="s">
        <v>1081</v>
      </c>
      <c r="E81" s="5" t="s">
        <v>53</v>
      </c>
      <c r="F81" s="9">
        <v>345.52218659577449</v>
      </c>
      <c r="G81" s="9">
        <v>84.494473716552719</v>
      </c>
      <c r="H81" s="9">
        <v>182.89240442496961</v>
      </c>
      <c r="I81" s="9">
        <v>0</v>
      </c>
      <c r="J81" s="9">
        <v>14.970241637714331</v>
      </c>
      <c r="K81" s="9">
        <v>0</v>
      </c>
      <c r="L81" s="49" t="s">
        <v>599</v>
      </c>
      <c r="M81" s="49" t="s">
        <v>599</v>
      </c>
      <c r="N81" s="49" t="s">
        <v>1170</v>
      </c>
      <c r="O81" s="49" t="s">
        <v>599</v>
      </c>
      <c r="P81" s="49" t="s">
        <v>599</v>
      </c>
      <c r="Q81" s="49" t="s">
        <v>599</v>
      </c>
      <c r="R81" s="30" t="str">
        <f t="shared" si="8"/>
        <v>IL</v>
      </c>
      <c r="S81" s="30" t="str">
        <f t="shared" si="9"/>
        <v>IN</v>
      </c>
      <c r="T81" s="30" t="str">
        <f t="shared" si="10"/>
        <v>MI</v>
      </c>
      <c r="U81" s="30" t="str">
        <f t="shared" si="11"/>
        <v>MN</v>
      </c>
      <c r="V81" s="30" t="str">
        <f t="shared" si="12"/>
        <v>OH</v>
      </c>
      <c r="W81" s="30" t="str">
        <f t="shared" si="13"/>
        <v>WI</v>
      </c>
      <c r="X81" s="30" t="str">
        <f t="shared" si="14"/>
        <v>ILINMIMNOHWI</v>
      </c>
    </row>
    <row r="82" spans="1:54" ht="48.4" x14ac:dyDescent="0.3">
      <c r="A82" s="51" t="str">
        <f>IF(ISNA(VLOOKUP(B82,Shortlist_xref!$A$5:$B$77,2,FALSE))=TRUE,"-",VLOOKUP(B82,Shortlist_xref!$A$5:$B$77,2,FALSE))</f>
        <v>-</v>
      </c>
      <c r="B82" s="3" t="s">
        <v>1082</v>
      </c>
      <c r="C82" s="5" t="s">
        <v>1083</v>
      </c>
      <c r="D82" s="5" t="s">
        <v>1084</v>
      </c>
      <c r="E82" s="5" t="s">
        <v>53</v>
      </c>
      <c r="F82" s="9" t="s">
        <v>37</v>
      </c>
      <c r="G82" s="9" t="s">
        <v>37</v>
      </c>
      <c r="H82" s="9" t="s">
        <v>37</v>
      </c>
      <c r="I82" s="9" t="s">
        <v>37</v>
      </c>
      <c r="J82" s="9" t="s">
        <v>37</v>
      </c>
      <c r="K82" s="9" t="s">
        <v>37</v>
      </c>
      <c r="L82" s="49" t="s">
        <v>599</v>
      </c>
      <c r="M82" s="49" t="s">
        <v>599</v>
      </c>
      <c r="N82" s="49" t="s">
        <v>1170</v>
      </c>
      <c r="O82" s="49" t="s">
        <v>599</v>
      </c>
      <c r="P82" s="49" t="s">
        <v>599</v>
      </c>
      <c r="Q82" s="49" t="s">
        <v>599</v>
      </c>
      <c r="R82" s="30" t="str">
        <f t="shared" si="8"/>
        <v>IL</v>
      </c>
      <c r="S82" s="30" t="str">
        <f t="shared" si="9"/>
        <v>IN</v>
      </c>
      <c r="T82" s="30" t="str">
        <f t="shared" si="10"/>
        <v>MI</v>
      </c>
      <c r="U82" s="30" t="str">
        <f t="shared" si="11"/>
        <v>MN</v>
      </c>
      <c r="V82" s="30" t="str">
        <f t="shared" si="12"/>
        <v>OH</v>
      </c>
      <c r="W82" s="30" t="str">
        <f t="shared" si="13"/>
        <v>WI</v>
      </c>
      <c r="X82" s="30" t="str">
        <f t="shared" si="14"/>
        <v>ILINMIMNOHWI</v>
      </c>
    </row>
    <row r="83" spans="1:54" ht="48.4" x14ac:dyDescent="0.3">
      <c r="A83" s="51" t="str">
        <f>IF(ISNA(VLOOKUP(B83,Shortlist_xref!$A$5:$B$77,2,FALSE))=TRUE,"-",VLOOKUP(B83,Shortlist_xref!$A$5:$B$77,2,FALSE))</f>
        <v>-</v>
      </c>
      <c r="B83" s="3" t="s">
        <v>1087</v>
      </c>
      <c r="C83" s="5" t="s">
        <v>1088</v>
      </c>
      <c r="D83" s="5" t="s">
        <v>1089</v>
      </c>
      <c r="E83" s="5" t="s">
        <v>53</v>
      </c>
      <c r="F83" s="9">
        <v>345.52218659577449</v>
      </c>
      <c r="G83" s="9">
        <v>84.494473716552719</v>
      </c>
      <c r="H83" s="9">
        <v>182.89240442496961</v>
      </c>
      <c r="I83" s="9">
        <v>0</v>
      </c>
      <c r="J83" s="9">
        <v>14.970241637714331</v>
      </c>
      <c r="K83" s="9">
        <v>0</v>
      </c>
      <c r="L83" s="49" t="s">
        <v>599</v>
      </c>
      <c r="M83" s="49" t="s">
        <v>599</v>
      </c>
      <c r="N83" s="49" t="s">
        <v>1170</v>
      </c>
      <c r="O83" s="49" t="s">
        <v>599</v>
      </c>
      <c r="P83" s="49" t="s">
        <v>599</v>
      </c>
      <c r="Q83" s="49" t="s">
        <v>599</v>
      </c>
      <c r="R83" s="30" t="str">
        <f t="shared" si="8"/>
        <v>IL</v>
      </c>
      <c r="S83" s="30" t="str">
        <f t="shared" si="9"/>
        <v>IN</v>
      </c>
      <c r="T83" s="30" t="str">
        <f t="shared" si="10"/>
        <v>MI</v>
      </c>
      <c r="U83" s="30" t="str">
        <f t="shared" si="11"/>
        <v>MN</v>
      </c>
      <c r="V83" s="30" t="str">
        <f t="shared" si="12"/>
        <v>OH</v>
      </c>
      <c r="W83" s="30" t="str">
        <f t="shared" si="13"/>
        <v>WI</v>
      </c>
      <c r="X83" s="30" t="str">
        <f t="shared" si="14"/>
        <v>ILINMIMNOHWI</v>
      </c>
    </row>
    <row r="84" spans="1:54" x14ac:dyDescent="0.3">
      <c r="A84" s="119" t="str">
        <f>Nonpoint_options!A83</f>
        <v>Petroleum Product Storage, Transport, Processing</v>
      </c>
      <c r="B84" s="87"/>
      <c r="C84" s="85"/>
      <c r="D84" s="26"/>
      <c r="E84" s="26"/>
      <c r="F84" s="46"/>
      <c r="G84" s="46"/>
      <c r="H84" s="46"/>
      <c r="I84" s="46"/>
      <c r="J84" s="46"/>
      <c r="K84" s="46"/>
      <c r="L84" s="47"/>
      <c r="M84" s="47"/>
      <c r="N84" s="47"/>
      <c r="O84" s="47"/>
      <c r="P84" s="47"/>
      <c r="Q84" s="47"/>
      <c r="R84" s="30" t="str">
        <f t="shared" si="8"/>
        <v/>
      </c>
      <c r="S84" s="30" t="str">
        <f t="shared" si="9"/>
        <v/>
      </c>
      <c r="T84" s="30" t="str">
        <f t="shared" si="10"/>
        <v/>
      </c>
      <c r="U84" s="30" t="str">
        <f t="shared" si="11"/>
        <v/>
      </c>
      <c r="V84" s="30" t="str">
        <f t="shared" si="12"/>
        <v/>
      </c>
      <c r="W84" s="30" t="str">
        <f t="shared" si="13"/>
        <v/>
      </c>
      <c r="X84" s="30" t="str">
        <f t="shared" si="14"/>
        <v/>
      </c>
    </row>
    <row r="85" spans="1:54" ht="72.599999999999994" x14ac:dyDescent="0.3">
      <c r="A85" s="51" t="str">
        <f>IF(ISNA(VLOOKUP(B85,Shortlist_xref!$A$5:$B$77,2,FALSE))=TRUE,"-",VLOOKUP(B85,Shortlist_xref!$A$5:$B$77,2,FALSE))</f>
        <v>-</v>
      </c>
      <c r="B85" s="3" t="s">
        <v>1092</v>
      </c>
      <c r="C85" s="5" t="s">
        <v>1093</v>
      </c>
      <c r="D85" s="5" t="s">
        <v>1094</v>
      </c>
      <c r="E85" s="5" t="s">
        <v>53</v>
      </c>
      <c r="F85" s="9" t="s">
        <v>37</v>
      </c>
      <c r="G85" s="9" t="s">
        <v>37</v>
      </c>
      <c r="H85" s="9" t="s">
        <v>37</v>
      </c>
      <c r="I85" s="9" t="s">
        <v>37</v>
      </c>
      <c r="J85" s="9" t="s">
        <v>37</v>
      </c>
      <c r="K85" s="9" t="s">
        <v>37</v>
      </c>
      <c r="L85" s="49" t="s">
        <v>596</v>
      </c>
      <c r="M85" s="49" t="s">
        <v>597</v>
      </c>
      <c r="N85" s="49" t="s">
        <v>598</v>
      </c>
      <c r="O85" s="49" t="s">
        <v>907</v>
      </c>
      <c r="P85" s="49" t="s">
        <v>600</v>
      </c>
      <c r="Q85" s="49" t="s">
        <v>601</v>
      </c>
      <c r="R85" s="30" t="str">
        <f t="shared" si="8"/>
        <v>IL</v>
      </c>
      <c r="S85" s="30" t="str">
        <f t="shared" si="9"/>
        <v>IN</v>
      </c>
      <c r="T85" s="30" t="str">
        <f t="shared" si="10"/>
        <v>MI</v>
      </c>
      <c r="U85" s="30" t="str">
        <f t="shared" si="11"/>
        <v>MN</v>
      </c>
      <c r="V85" s="30" t="str">
        <f t="shared" si="12"/>
        <v>OH</v>
      </c>
      <c r="W85" s="30" t="str">
        <f t="shared" si="13"/>
        <v>WI</v>
      </c>
      <c r="X85" s="30" t="str">
        <f t="shared" si="14"/>
        <v>ILINMIMNOHWI</v>
      </c>
    </row>
    <row r="86" spans="1:54" ht="72.599999999999994" x14ac:dyDescent="0.3">
      <c r="A86" s="51" t="str">
        <f>IF(ISNA(VLOOKUP(B86,Shortlist_xref!$A$5:$B$77,2,FALSE))=TRUE,"-",VLOOKUP(B86,Shortlist_xref!$A$5:$B$77,2,FALSE))</f>
        <v>-</v>
      </c>
      <c r="B86" s="3" t="s">
        <v>1097</v>
      </c>
      <c r="C86" s="5" t="s">
        <v>1098</v>
      </c>
      <c r="D86" s="5" t="s">
        <v>1099</v>
      </c>
      <c r="E86" s="5" t="s">
        <v>53</v>
      </c>
      <c r="F86" s="9" t="s">
        <v>37</v>
      </c>
      <c r="G86" s="9" t="s">
        <v>37</v>
      </c>
      <c r="H86" s="9" t="s">
        <v>37</v>
      </c>
      <c r="I86" s="9" t="s">
        <v>37</v>
      </c>
      <c r="J86" s="9" t="s">
        <v>37</v>
      </c>
      <c r="K86" s="9" t="s">
        <v>37</v>
      </c>
      <c r="L86" s="49" t="s">
        <v>596</v>
      </c>
      <c r="M86" s="49" t="s">
        <v>597</v>
      </c>
      <c r="N86" s="49" t="s">
        <v>598</v>
      </c>
      <c r="O86" s="49" t="s">
        <v>907</v>
      </c>
      <c r="P86" s="49" t="s">
        <v>600</v>
      </c>
      <c r="Q86" s="49" t="s">
        <v>601</v>
      </c>
      <c r="R86" s="30" t="str">
        <f t="shared" si="8"/>
        <v>IL</v>
      </c>
      <c r="S86" s="30" t="str">
        <f t="shared" si="9"/>
        <v>IN</v>
      </c>
      <c r="T86" s="30" t="str">
        <f t="shared" si="10"/>
        <v>MI</v>
      </c>
      <c r="U86" s="30" t="str">
        <f t="shared" si="11"/>
        <v>MN</v>
      </c>
      <c r="V86" s="30" t="str">
        <f t="shared" si="12"/>
        <v>OH</v>
      </c>
      <c r="W86" s="30" t="str">
        <f t="shared" si="13"/>
        <v>WI</v>
      </c>
      <c r="X86" s="30" t="str">
        <f t="shared" si="14"/>
        <v>ILINMIMNOHWI</v>
      </c>
    </row>
    <row r="87" spans="1:54" ht="72.599999999999994" x14ac:dyDescent="0.3">
      <c r="A87" s="51" t="str">
        <f>IF(ISNA(VLOOKUP(B87,Shortlist_xref!$A$5:$B$77,2,FALSE))=TRUE,"-",VLOOKUP(B87,Shortlist_xref!$A$5:$B$77,2,FALSE))</f>
        <v>-</v>
      </c>
      <c r="B87" s="3" t="s">
        <v>1102</v>
      </c>
      <c r="C87" s="5" t="s">
        <v>1103</v>
      </c>
      <c r="D87" s="5" t="s">
        <v>1076</v>
      </c>
      <c r="E87" s="5" t="s">
        <v>53</v>
      </c>
      <c r="F87" s="9">
        <v>0</v>
      </c>
      <c r="G87" s="9">
        <v>54.544578691583055</v>
      </c>
      <c r="H87" s="9">
        <v>138.4715809328047</v>
      </c>
      <c r="I87" s="9">
        <v>218.29781324135843</v>
      </c>
      <c r="J87" s="9">
        <v>66.10073289871282</v>
      </c>
      <c r="K87" s="9">
        <v>130.36775265092868</v>
      </c>
      <c r="L87" s="49" t="s">
        <v>596</v>
      </c>
      <c r="M87" s="49" t="s">
        <v>597</v>
      </c>
      <c r="N87" s="49" t="s">
        <v>598</v>
      </c>
      <c r="O87" s="49" t="s">
        <v>907</v>
      </c>
      <c r="P87" s="49" t="s">
        <v>600</v>
      </c>
      <c r="Q87" s="49" t="s">
        <v>601</v>
      </c>
      <c r="R87" s="30" t="str">
        <f t="shared" si="8"/>
        <v>IL</v>
      </c>
      <c r="S87" s="30" t="str">
        <f t="shared" si="9"/>
        <v>IN</v>
      </c>
      <c r="T87" s="30" t="str">
        <f t="shared" si="10"/>
        <v>MI</v>
      </c>
      <c r="U87" s="30" t="str">
        <f t="shared" si="11"/>
        <v>MN</v>
      </c>
      <c r="V87" s="30" t="str">
        <f t="shared" si="12"/>
        <v>OH</v>
      </c>
      <c r="W87" s="30" t="str">
        <f t="shared" si="13"/>
        <v>WI</v>
      </c>
      <c r="X87" s="30" t="str">
        <f t="shared" si="14"/>
        <v>ILINMIMNOHWI</v>
      </c>
    </row>
    <row r="88" spans="1:54" ht="72.599999999999994" x14ac:dyDescent="0.3">
      <c r="A88" s="51" t="str">
        <f>IF(ISNA(VLOOKUP(B88,Shortlist_xref!$A$5:$B$77,2,FALSE))=TRUE,"-",VLOOKUP(B88,Shortlist_xref!$A$5:$B$77,2,FALSE))</f>
        <v>-</v>
      </c>
      <c r="B88" s="3" t="s">
        <v>1104</v>
      </c>
      <c r="C88" s="5" t="s">
        <v>1105</v>
      </c>
      <c r="D88" s="5" t="s">
        <v>1106</v>
      </c>
      <c r="E88" s="5" t="s">
        <v>53</v>
      </c>
      <c r="F88" s="9" t="s">
        <v>37</v>
      </c>
      <c r="G88" s="9" t="s">
        <v>37</v>
      </c>
      <c r="H88" s="9" t="s">
        <v>37</v>
      </c>
      <c r="I88" s="9" t="s">
        <v>37</v>
      </c>
      <c r="J88" s="9" t="s">
        <v>37</v>
      </c>
      <c r="K88" s="9" t="s">
        <v>37</v>
      </c>
      <c r="L88" s="49" t="s">
        <v>596</v>
      </c>
      <c r="M88" s="49" t="s">
        <v>597</v>
      </c>
      <c r="N88" s="49" t="s">
        <v>598</v>
      </c>
      <c r="O88" s="49" t="s">
        <v>907</v>
      </c>
      <c r="P88" s="49" t="s">
        <v>600</v>
      </c>
      <c r="Q88" s="49" t="s">
        <v>601</v>
      </c>
      <c r="R88" s="30" t="str">
        <f t="shared" si="8"/>
        <v>IL</v>
      </c>
      <c r="S88" s="30" t="str">
        <f t="shared" si="9"/>
        <v>IN</v>
      </c>
      <c r="T88" s="30" t="str">
        <f t="shared" si="10"/>
        <v>MI</v>
      </c>
      <c r="U88" s="30" t="str">
        <f t="shared" si="11"/>
        <v>MN</v>
      </c>
      <c r="V88" s="30" t="str">
        <f t="shared" si="12"/>
        <v>OH</v>
      </c>
      <c r="W88" s="30" t="str">
        <f t="shared" si="13"/>
        <v>WI</v>
      </c>
      <c r="X88" s="30" t="str">
        <f t="shared" si="14"/>
        <v>ILINMIMNOHWI</v>
      </c>
    </row>
    <row r="89" spans="1:54" ht="72.599999999999994" x14ac:dyDescent="0.3">
      <c r="A89" s="51" t="str">
        <f>IF(ISNA(VLOOKUP(B89,Shortlist_xref!$A$5:$B$77,2,FALSE))=TRUE,"-",VLOOKUP(B89,Shortlist_xref!$A$5:$B$77,2,FALSE))</f>
        <v>C-E</v>
      </c>
      <c r="B89" s="3" t="s">
        <v>123</v>
      </c>
      <c r="C89" s="5" t="s">
        <v>51</v>
      </c>
      <c r="D89" s="5" t="s">
        <v>52</v>
      </c>
      <c r="E89" s="5" t="s">
        <v>53</v>
      </c>
      <c r="F89" s="9">
        <v>57.627634739999998</v>
      </c>
      <c r="G89" s="9">
        <v>22.015858001280005</v>
      </c>
      <c r="H89" s="9">
        <v>15.680296320000002</v>
      </c>
      <c r="I89" s="9">
        <v>14.655679891320002</v>
      </c>
      <c r="J89" s="9">
        <v>27.147203459999993</v>
      </c>
      <c r="K89" s="9">
        <v>2.7568904999999999</v>
      </c>
      <c r="L89" s="49" t="s">
        <v>596</v>
      </c>
      <c r="M89" s="49" t="s">
        <v>597</v>
      </c>
      <c r="N89" s="49" t="s">
        <v>598</v>
      </c>
      <c r="O89" s="49" t="s">
        <v>907</v>
      </c>
      <c r="P89" s="49" t="s">
        <v>600</v>
      </c>
      <c r="Q89" s="49" t="s">
        <v>601</v>
      </c>
      <c r="R89" s="30" t="str">
        <f t="shared" si="8"/>
        <v>IL</v>
      </c>
      <c r="S89" s="30" t="str">
        <f t="shared" si="9"/>
        <v>IN</v>
      </c>
      <c r="T89" s="30" t="str">
        <f t="shared" si="10"/>
        <v>MI</v>
      </c>
      <c r="U89" s="30" t="str">
        <f t="shared" si="11"/>
        <v>MN</v>
      </c>
      <c r="V89" s="30" t="str">
        <f t="shared" si="12"/>
        <v>OH</v>
      </c>
      <c r="W89" s="30" t="str">
        <f t="shared" si="13"/>
        <v>WI</v>
      </c>
      <c r="X89" s="30" t="str">
        <f t="shared" si="14"/>
        <v>ILINMIMNOHWI</v>
      </c>
    </row>
    <row r="90" spans="1:54" ht="72.599999999999994" x14ac:dyDescent="0.3">
      <c r="A90" s="51" t="str">
        <f>IF(ISNA(VLOOKUP(B90,Shortlist_xref!$A$5:$B$77,2,FALSE))=TRUE,"-",VLOOKUP(B90,Shortlist_xref!$A$5:$B$77,2,FALSE))</f>
        <v>-</v>
      </c>
      <c r="B90" s="3" t="s">
        <v>1109</v>
      </c>
      <c r="C90" s="5" t="s">
        <v>1110</v>
      </c>
      <c r="D90" s="5" t="s">
        <v>1111</v>
      </c>
      <c r="E90" s="5" t="s">
        <v>53</v>
      </c>
      <c r="F90" s="9">
        <v>242.4670524955423</v>
      </c>
      <c r="G90" s="9">
        <v>462.08125881258616</v>
      </c>
      <c r="H90" s="9">
        <v>646.2876359191373</v>
      </c>
      <c r="I90" s="9">
        <v>307.82659659922217</v>
      </c>
      <c r="J90" s="9">
        <v>240.52728885127684</v>
      </c>
      <c r="K90" s="9">
        <v>301.70295668078694</v>
      </c>
      <c r="L90" s="49" t="s">
        <v>596</v>
      </c>
      <c r="M90" s="49" t="s">
        <v>597</v>
      </c>
      <c r="N90" s="49" t="s">
        <v>598</v>
      </c>
      <c r="O90" s="49" t="s">
        <v>907</v>
      </c>
      <c r="P90" s="49" t="s">
        <v>600</v>
      </c>
      <c r="Q90" s="49" t="s">
        <v>601</v>
      </c>
      <c r="R90" s="30" t="str">
        <f t="shared" si="8"/>
        <v>IL</v>
      </c>
      <c r="S90" s="30" t="str">
        <f t="shared" si="9"/>
        <v>IN</v>
      </c>
      <c r="T90" s="30" t="str">
        <f t="shared" si="10"/>
        <v>MI</v>
      </c>
      <c r="U90" s="30" t="str">
        <f t="shared" si="11"/>
        <v>MN</v>
      </c>
      <c r="V90" s="30" t="str">
        <f t="shared" si="12"/>
        <v>OH</v>
      </c>
      <c r="W90" s="30" t="str">
        <f t="shared" si="13"/>
        <v>WI</v>
      </c>
      <c r="X90" s="30" t="str">
        <f t="shared" si="14"/>
        <v>ILINMIMNOHWI</v>
      </c>
      <c r="Y90" s="48"/>
      <c r="Z90" s="48"/>
      <c r="AA90" s="48"/>
      <c r="AB90" s="48"/>
      <c r="AC90" s="48"/>
      <c r="AD90" s="48"/>
      <c r="AE90" s="48"/>
      <c r="AF90" s="48"/>
      <c r="AG90" s="48"/>
      <c r="AH90" s="48"/>
      <c r="AI90" s="48"/>
      <c r="AJ90" s="48"/>
      <c r="AK90" s="48"/>
      <c r="AL90" s="48"/>
      <c r="AM90" s="48"/>
      <c r="AN90" s="48"/>
      <c r="AO90" s="48"/>
      <c r="AP90" s="48"/>
      <c r="AQ90" s="48"/>
      <c r="AR90" s="48"/>
      <c r="AS90" s="48"/>
      <c r="AT90" s="48"/>
      <c r="AU90" s="48"/>
      <c r="AV90" s="48"/>
      <c r="AW90" s="48"/>
      <c r="AX90" s="48"/>
      <c r="AY90" s="48"/>
      <c r="AZ90" s="48"/>
      <c r="BA90" s="48"/>
      <c r="BB90" s="48"/>
    </row>
    <row r="91" spans="1:54" ht="72.599999999999994" x14ac:dyDescent="0.3">
      <c r="A91" s="51" t="str">
        <f>IF(ISNA(VLOOKUP(B91,Shortlist_xref!$A$5:$B$77,2,FALSE))=TRUE,"-",VLOOKUP(B91,Shortlist_xref!$A$5:$B$77,2,FALSE))</f>
        <v>-</v>
      </c>
      <c r="B91" s="3" t="s">
        <v>1112</v>
      </c>
      <c r="C91" s="5" t="s">
        <v>1113</v>
      </c>
      <c r="D91" s="5" t="s">
        <v>1114</v>
      </c>
      <c r="E91" s="5" t="s">
        <v>53</v>
      </c>
      <c r="F91" s="9">
        <v>315.53931489145913</v>
      </c>
      <c r="G91" s="9">
        <v>601.33862448213267</v>
      </c>
      <c r="H91" s="9">
        <v>841.05925222353483</v>
      </c>
      <c r="I91" s="9">
        <v>400.5962558483028</v>
      </c>
      <c r="J91" s="9">
        <v>313.01496494344246</v>
      </c>
      <c r="K91" s="9">
        <v>392.6271354065035</v>
      </c>
      <c r="L91" s="49" t="s">
        <v>596</v>
      </c>
      <c r="M91" s="49" t="s">
        <v>597</v>
      </c>
      <c r="N91" s="49" t="s">
        <v>598</v>
      </c>
      <c r="O91" s="49" t="s">
        <v>907</v>
      </c>
      <c r="P91" s="49" t="s">
        <v>600</v>
      </c>
      <c r="Q91" s="49" t="s">
        <v>601</v>
      </c>
      <c r="R91" s="30" t="str">
        <f t="shared" si="8"/>
        <v>IL</v>
      </c>
      <c r="S91" s="30" t="str">
        <f t="shared" si="9"/>
        <v>IN</v>
      </c>
      <c r="T91" s="30" t="str">
        <f t="shared" si="10"/>
        <v>MI</v>
      </c>
      <c r="U91" s="30" t="str">
        <f t="shared" si="11"/>
        <v>MN</v>
      </c>
      <c r="V91" s="30" t="str">
        <f t="shared" si="12"/>
        <v>OH</v>
      </c>
      <c r="W91" s="30" t="str">
        <f t="shared" si="13"/>
        <v>WI</v>
      </c>
      <c r="X91" s="30" t="str">
        <f t="shared" si="14"/>
        <v>ILINMIMNOHWI</v>
      </c>
    </row>
    <row r="92" spans="1:54" ht="72.599999999999994" x14ac:dyDescent="0.3">
      <c r="A92" s="51" t="str">
        <f>IF(ISNA(VLOOKUP(B92,Shortlist_xref!$A$5:$B$77,2,FALSE))=TRUE,"-",VLOOKUP(B92,Shortlist_xref!$A$5:$B$77,2,FALSE))</f>
        <v>-</v>
      </c>
      <c r="B92" s="3" t="s">
        <v>1117</v>
      </c>
      <c r="C92" s="5" t="s">
        <v>1113</v>
      </c>
      <c r="D92" s="5" t="s">
        <v>1118</v>
      </c>
      <c r="E92" s="5" t="s">
        <v>53</v>
      </c>
      <c r="F92" s="9">
        <v>315.53931489145913</v>
      </c>
      <c r="G92" s="9">
        <v>601.33862448213267</v>
      </c>
      <c r="H92" s="9">
        <v>841.05925222353483</v>
      </c>
      <c r="I92" s="9">
        <v>400.5962558483028</v>
      </c>
      <c r="J92" s="9">
        <v>313.01496494344246</v>
      </c>
      <c r="K92" s="9">
        <v>392.6271354065035</v>
      </c>
      <c r="L92" s="49" t="s">
        <v>596</v>
      </c>
      <c r="M92" s="49" t="s">
        <v>597</v>
      </c>
      <c r="N92" s="49" t="s">
        <v>598</v>
      </c>
      <c r="O92" s="49" t="s">
        <v>907</v>
      </c>
      <c r="P92" s="49" t="s">
        <v>600</v>
      </c>
      <c r="Q92" s="49" t="s">
        <v>601</v>
      </c>
      <c r="R92" s="30" t="str">
        <f t="shared" si="8"/>
        <v>IL</v>
      </c>
      <c r="S92" s="30" t="str">
        <f t="shared" si="9"/>
        <v>IN</v>
      </c>
      <c r="T92" s="30" t="str">
        <f t="shared" si="10"/>
        <v>MI</v>
      </c>
      <c r="U92" s="30" t="str">
        <f t="shared" si="11"/>
        <v>MN</v>
      </c>
      <c r="V92" s="30" t="str">
        <f t="shared" si="12"/>
        <v>OH</v>
      </c>
      <c r="W92" s="30" t="str">
        <f t="shared" si="13"/>
        <v>WI</v>
      </c>
      <c r="X92" s="30" t="str">
        <f t="shared" si="14"/>
        <v>ILINMIMNOHWI</v>
      </c>
    </row>
    <row r="93" spans="1:54" x14ac:dyDescent="0.3">
      <c r="A93" s="119" t="str">
        <f>Nonpoint_options!A92</f>
        <v>Other Stationary Sources (&lt;0.5% contribution to NOx/VOC inventory)</v>
      </c>
      <c r="B93" s="87"/>
      <c r="C93" s="85"/>
      <c r="D93" s="26"/>
      <c r="E93" s="26"/>
      <c r="F93" s="46"/>
      <c r="G93" s="46"/>
      <c r="H93" s="46"/>
      <c r="I93" s="46"/>
      <c r="J93" s="46"/>
      <c r="K93" s="46"/>
      <c r="L93" s="47"/>
      <c r="M93" s="47"/>
      <c r="N93" s="47"/>
      <c r="O93" s="47"/>
      <c r="P93" s="47"/>
      <c r="Q93" s="47"/>
      <c r="R93" s="30" t="str">
        <f t="shared" si="8"/>
        <v/>
      </c>
      <c r="S93" s="30" t="str">
        <f t="shared" si="9"/>
        <v/>
      </c>
      <c r="T93" s="30" t="str">
        <f t="shared" si="10"/>
        <v/>
      </c>
      <c r="U93" s="30" t="str">
        <f t="shared" si="11"/>
        <v/>
      </c>
      <c r="V93" s="30" t="str">
        <f t="shared" si="12"/>
        <v/>
      </c>
      <c r="W93" s="30" t="str">
        <f t="shared" si="13"/>
        <v/>
      </c>
      <c r="X93" s="30" t="str">
        <f t="shared" si="14"/>
        <v/>
      </c>
    </row>
    <row r="94" spans="1:54" x14ac:dyDescent="0.3">
      <c r="A94" s="51" t="str">
        <f>IF(ISNA(VLOOKUP(B94,Shortlist_xref!$A$5:$B$77,2,FALSE))=TRUE,"-",VLOOKUP(B94,Shortlist_xref!$A$5:$B$77,2,FALSE))</f>
        <v>-</v>
      </c>
      <c r="B94" s="3" t="s">
        <v>1120</v>
      </c>
      <c r="C94" s="5" t="s">
        <v>1121</v>
      </c>
      <c r="D94" s="5" t="s">
        <v>1122</v>
      </c>
      <c r="E94" s="5" t="s">
        <v>53</v>
      </c>
      <c r="F94" s="9">
        <v>6.4628582400000019</v>
      </c>
      <c r="G94" s="9">
        <v>68.143054359999994</v>
      </c>
      <c r="H94" s="9">
        <v>158.45600000000002</v>
      </c>
      <c r="I94" s="9">
        <v>70.475120000000004</v>
      </c>
      <c r="J94" s="9">
        <v>89.062644800000001</v>
      </c>
      <c r="K94" s="9">
        <v>74.000532800000016</v>
      </c>
      <c r="L94" s="49" t="s">
        <v>381</v>
      </c>
      <c r="M94" s="49" t="s">
        <v>381</v>
      </c>
      <c r="N94" s="49" t="s">
        <v>381</v>
      </c>
      <c r="O94" s="49" t="s">
        <v>381</v>
      </c>
      <c r="P94" s="49" t="s">
        <v>381</v>
      </c>
      <c r="Q94" s="49" t="s">
        <v>381</v>
      </c>
      <c r="R94" s="30" t="str">
        <f t="shared" si="8"/>
        <v/>
      </c>
      <c r="S94" s="30" t="str">
        <f t="shared" si="9"/>
        <v/>
      </c>
      <c r="T94" s="30" t="str">
        <f t="shared" si="10"/>
        <v/>
      </c>
      <c r="U94" s="30" t="str">
        <f t="shared" si="11"/>
        <v/>
      </c>
      <c r="V94" s="30" t="str">
        <f t="shared" si="12"/>
        <v/>
      </c>
      <c r="W94" s="30" t="str">
        <f t="shared" si="13"/>
        <v/>
      </c>
      <c r="X94" s="30" t="str">
        <f t="shared" si="14"/>
        <v/>
      </c>
    </row>
    <row r="95" spans="1:54" x14ac:dyDescent="0.3">
      <c r="A95" s="51" t="str">
        <f>IF(ISNA(VLOOKUP(B95,Shortlist_xref!$A$5:$B$77,2,FALSE))=TRUE,"-",VLOOKUP(B95,Shortlist_xref!$A$5:$B$77,2,FALSE))</f>
        <v>C-E</v>
      </c>
      <c r="B95" s="3" t="s">
        <v>125</v>
      </c>
      <c r="C95" s="5" t="s">
        <v>126</v>
      </c>
      <c r="D95" s="5" t="s">
        <v>112</v>
      </c>
      <c r="E95" s="5" t="s">
        <v>53</v>
      </c>
      <c r="F95" s="9">
        <v>5.8472922000000001</v>
      </c>
      <c r="G95" s="9">
        <v>11.802423140000002</v>
      </c>
      <c r="H95" s="9">
        <v>79.680000000000007</v>
      </c>
      <c r="I95" s="9">
        <v>2.3443330000000002</v>
      </c>
      <c r="J95" s="9">
        <v>130.80333800000002</v>
      </c>
      <c r="K95" s="9">
        <v>333.23516570000004</v>
      </c>
      <c r="L95" s="49" t="s">
        <v>381</v>
      </c>
      <c r="M95" s="49" t="s">
        <v>381</v>
      </c>
      <c r="N95" s="49" t="s">
        <v>381</v>
      </c>
      <c r="O95" s="49" t="s">
        <v>381</v>
      </c>
      <c r="P95" s="49" t="s">
        <v>381</v>
      </c>
      <c r="Q95" s="49" t="s">
        <v>381</v>
      </c>
      <c r="R95" s="30" t="str">
        <f t="shared" si="8"/>
        <v/>
      </c>
      <c r="S95" s="30" t="str">
        <f t="shared" si="9"/>
        <v/>
      </c>
      <c r="T95" s="30" t="str">
        <f t="shared" si="10"/>
        <v/>
      </c>
      <c r="U95" s="30" t="str">
        <f t="shared" si="11"/>
        <v/>
      </c>
      <c r="V95" s="30" t="str">
        <f t="shared" si="12"/>
        <v/>
      </c>
      <c r="W95" s="30" t="str">
        <f t="shared" si="13"/>
        <v/>
      </c>
      <c r="X95" s="30" t="str">
        <f t="shared" si="14"/>
        <v/>
      </c>
    </row>
    <row r="96" spans="1:54" ht="36.299999999999997" x14ac:dyDescent="0.3">
      <c r="A96" s="51" t="str">
        <f>IF(ISNA(VLOOKUP(B96,Shortlist_xref!$A$5:$B$77,2,FALSE))=TRUE,"-",VLOOKUP(B96,Shortlist_xref!$A$5:$B$77,2,FALSE))</f>
        <v>C-E</v>
      </c>
      <c r="B96" s="3" t="s">
        <v>127</v>
      </c>
      <c r="C96" s="5" t="s">
        <v>128</v>
      </c>
      <c r="D96" s="5" t="s">
        <v>129</v>
      </c>
      <c r="E96" s="5" t="s">
        <v>53</v>
      </c>
      <c r="F96" s="9">
        <v>70.730134601226993</v>
      </c>
      <c r="G96" s="9">
        <v>37.374394274028639</v>
      </c>
      <c r="H96" s="9">
        <v>55.156787198364022</v>
      </c>
      <c r="I96" s="9">
        <v>33.940177300613506</v>
      </c>
      <c r="J96" s="9">
        <v>70.589066871165656</v>
      </c>
      <c r="K96" s="9">
        <v>32.353600327198372</v>
      </c>
      <c r="L96" s="49" t="s">
        <v>381</v>
      </c>
      <c r="M96" s="49" t="s">
        <v>381</v>
      </c>
      <c r="N96" s="49" t="s">
        <v>381</v>
      </c>
      <c r="O96" s="49" t="s">
        <v>381</v>
      </c>
      <c r="P96" s="49" t="s">
        <v>381</v>
      </c>
      <c r="Q96" s="49" t="s">
        <v>381</v>
      </c>
      <c r="R96" s="30" t="str">
        <f t="shared" si="8"/>
        <v/>
      </c>
      <c r="S96" s="30" t="str">
        <f t="shared" si="9"/>
        <v/>
      </c>
      <c r="T96" s="30" t="str">
        <f t="shared" si="10"/>
        <v/>
      </c>
      <c r="U96" s="30" t="str">
        <f t="shared" si="11"/>
        <v/>
      </c>
      <c r="V96" s="30" t="str">
        <f t="shared" si="12"/>
        <v/>
      </c>
      <c r="W96" s="30" t="str">
        <f t="shared" si="13"/>
        <v/>
      </c>
      <c r="X96" s="30" t="str">
        <f t="shared" si="14"/>
        <v/>
      </c>
    </row>
    <row r="97" spans="1:24" ht="24.2" x14ac:dyDescent="0.3">
      <c r="A97" s="51" t="str">
        <f>IF(ISNA(VLOOKUP(B97,Shortlist_xref!$A$5:$B$77,2,FALSE))=TRUE,"-",VLOOKUP(B97,Shortlist_xref!$A$5:$B$77,2,FALSE))</f>
        <v>-</v>
      </c>
      <c r="B97" s="3" t="s">
        <v>1124</v>
      </c>
      <c r="C97" s="5" t="s">
        <v>1125</v>
      </c>
      <c r="D97" s="5" t="s">
        <v>1126</v>
      </c>
      <c r="E97" s="5" t="s">
        <v>53</v>
      </c>
      <c r="F97" s="9">
        <v>136.01643299999998</v>
      </c>
      <c r="G97" s="9">
        <v>71.872219999999999</v>
      </c>
      <c r="H97" s="9">
        <v>106.06836100000001</v>
      </c>
      <c r="I97" s="9">
        <v>65.268105000000006</v>
      </c>
      <c r="J97" s="9">
        <v>135.74515499999998</v>
      </c>
      <c r="K97" s="9">
        <v>62.217064000000001</v>
      </c>
      <c r="L97" s="49" t="s">
        <v>381</v>
      </c>
      <c r="M97" s="49" t="s">
        <v>381</v>
      </c>
      <c r="N97" s="49" t="s">
        <v>381</v>
      </c>
      <c r="O97" s="49" t="s">
        <v>381</v>
      </c>
      <c r="P97" s="49" t="s">
        <v>381</v>
      </c>
      <c r="Q97" s="49" t="s">
        <v>381</v>
      </c>
      <c r="R97" s="30" t="str">
        <f t="shared" si="8"/>
        <v/>
      </c>
      <c r="S97" s="30" t="str">
        <f t="shared" si="9"/>
        <v/>
      </c>
      <c r="T97" s="30" t="str">
        <f t="shared" si="10"/>
        <v/>
      </c>
      <c r="U97" s="30" t="str">
        <f t="shared" si="11"/>
        <v/>
      </c>
      <c r="V97" s="30" t="str">
        <f t="shared" si="12"/>
        <v/>
      </c>
      <c r="W97" s="30" t="str">
        <f t="shared" si="13"/>
        <v/>
      </c>
      <c r="X97" s="30" t="str">
        <f t="shared" si="14"/>
        <v/>
      </c>
    </row>
    <row r="98" spans="1:24" ht="24.2" x14ac:dyDescent="0.3">
      <c r="A98" s="51" t="str">
        <f>IF(ISNA(VLOOKUP(B98,Shortlist_xref!$A$5:$B$77,2,FALSE))=TRUE,"-",VLOOKUP(B98,Shortlist_xref!$A$5:$B$77,2,FALSE))</f>
        <v>-</v>
      </c>
      <c r="B98" s="3" t="s">
        <v>1128</v>
      </c>
      <c r="C98" s="5" t="s">
        <v>1129</v>
      </c>
      <c r="D98" s="5" t="s">
        <v>1130</v>
      </c>
      <c r="E98" s="5" t="s">
        <v>12</v>
      </c>
      <c r="F98" s="9" t="s">
        <v>37</v>
      </c>
      <c r="G98" s="9" t="s">
        <v>37</v>
      </c>
      <c r="H98" s="9" t="s">
        <v>37</v>
      </c>
      <c r="I98" s="9" t="s">
        <v>37</v>
      </c>
      <c r="J98" s="9" t="s">
        <v>37</v>
      </c>
      <c r="K98" s="9" t="s">
        <v>37</v>
      </c>
      <c r="L98" s="49" t="s">
        <v>381</v>
      </c>
      <c r="M98" s="49" t="s">
        <v>381</v>
      </c>
      <c r="N98" s="49" t="s">
        <v>381</v>
      </c>
      <c r="O98" s="49" t="s">
        <v>381</v>
      </c>
      <c r="P98" s="49" t="s">
        <v>381</v>
      </c>
      <c r="Q98" s="49" t="s">
        <v>381</v>
      </c>
      <c r="R98" s="30" t="str">
        <f t="shared" si="8"/>
        <v/>
      </c>
      <c r="S98" s="30" t="str">
        <f t="shared" si="9"/>
        <v/>
      </c>
      <c r="T98" s="30" t="str">
        <f t="shared" si="10"/>
        <v/>
      </c>
      <c r="U98" s="30" t="str">
        <f t="shared" si="11"/>
        <v/>
      </c>
      <c r="V98" s="30" t="str">
        <f t="shared" si="12"/>
        <v/>
      </c>
      <c r="W98" s="30" t="str">
        <f t="shared" si="13"/>
        <v/>
      </c>
      <c r="X98" s="30" t="str">
        <f t="shared" si="14"/>
        <v/>
      </c>
    </row>
    <row r="99" spans="1:24" x14ac:dyDescent="0.3">
      <c r="A99" s="51" t="str">
        <f>IF(ISNA(VLOOKUP(B99,Shortlist_xref!$A$5:$B$77,2,FALSE))=TRUE,"-",VLOOKUP(B99,Shortlist_xref!$A$5:$B$77,2,FALSE))</f>
        <v>C-E</v>
      </c>
      <c r="B99" s="3" t="s">
        <v>130</v>
      </c>
      <c r="C99" s="5" t="s">
        <v>131</v>
      </c>
      <c r="D99" s="5" t="s">
        <v>132</v>
      </c>
      <c r="E99" s="5" t="s">
        <v>53</v>
      </c>
      <c r="F99" s="9">
        <v>0</v>
      </c>
      <c r="G99" s="9">
        <v>0</v>
      </c>
      <c r="H99" s="9">
        <v>49.897400000000005</v>
      </c>
      <c r="I99" s="9">
        <v>0</v>
      </c>
      <c r="J99" s="9">
        <v>0</v>
      </c>
      <c r="K99" s="9">
        <v>0</v>
      </c>
      <c r="L99" s="49" t="s">
        <v>381</v>
      </c>
      <c r="M99" s="49" t="s">
        <v>381</v>
      </c>
      <c r="N99" s="49" t="s">
        <v>381</v>
      </c>
      <c r="O99" s="49" t="s">
        <v>381</v>
      </c>
      <c r="P99" s="49" t="s">
        <v>381</v>
      </c>
      <c r="Q99" s="49" t="s">
        <v>381</v>
      </c>
      <c r="R99" s="30" t="str">
        <f t="shared" si="8"/>
        <v/>
      </c>
      <c r="S99" s="30" t="str">
        <f t="shared" si="9"/>
        <v/>
      </c>
      <c r="T99" s="30" t="str">
        <f t="shared" si="10"/>
        <v/>
      </c>
      <c r="U99" s="30" t="str">
        <f t="shared" si="11"/>
        <v/>
      </c>
      <c r="V99" s="30" t="str">
        <f t="shared" si="12"/>
        <v/>
      </c>
      <c r="W99" s="30" t="str">
        <f t="shared" si="13"/>
        <v/>
      </c>
      <c r="X99" s="30" t="str">
        <f t="shared" si="14"/>
        <v/>
      </c>
    </row>
    <row r="100" spans="1:24" ht="36.299999999999997" x14ac:dyDescent="0.3">
      <c r="A100" s="51" t="str">
        <f>IF(ISNA(VLOOKUP(B100,Shortlist_xref!$A$5:$B$77,2,FALSE))=TRUE,"-",VLOOKUP(B100,Shortlist_xref!$A$5:$B$77,2,FALSE))</f>
        <v>-</v>
      </c>
      <c r="B100" s="3" t="s">
        <v>1134</v>
      </c>
      <c r="C100" s="5" t="s">
        <v>133</v>
      </c>
      <c r="D100" s="5" t="s">
        <v>1135</v>
      </c>
      <c r="E100" s="5" t="s">
        <v>12</v>
      </c>
      <c r="F100" s="9">
        <v>280.93377334595368</v>
      </c>
      <c r="G100" s="9">
        <v>103.99722585890403</v>
      </c>
      <c r="H100" s="9">
        <v>238.33831977845026</v>
      </c>
      <c r="I100" s="9">
        <v>132.82045966069376</v>
      </c>
      <c r="J100" s="9">
        <v>201.57423748515629</v>
      </c>
      <c r="K100" s="9">
        <v>113.85595354680243</v>
      </c>
      <c r="L100" s="49" t="s">
        <v>381</v>
      </c>
      <c r="M100" s="49" t="s">
        <v>381</v>
      </c>
      <c r="N100" s="49" t="s">
        <v>381</v>
      </c>
      <c r="O100" s="49" t="s">
        <v>381</v>
      </c>
      <c r="P100" s="49" t="s">
        <v>381</v>
      </c>
      <c r="Q100" s="49" t="s">
        <v>381</v>
      </c>
      <c r="R100" s="30" t="str">
        <f t="shared" si="8"/>
        <v/>
      </c>
      <c r="S100" s="30" t="str">
        <f t="shared" si="9"/>
        <v/>
      </c>
      <c r="T100" s="30" t="str">
        <f t="shared" si="10"/>
        <v/>
      </c>
      <c r="U100" s="30" t="str">
        <f t="shared" si="11"/>
        <v/>
      </c>
      <c r="V100" s="30" t="str">
        <f t="shared" si="12"/>
        <v/>
      </c>
      <c r="W100" s="30" t="str">
        <f t="shared" si="13"/>
        <v/>
      </c>
      <c r="X100" s="30" t="str">
        <f t="shared" si="14"/>
        <v/>
      </c>
    </row>
    <row r="101" spans="1:24" ht="36.299999999999997" x14ac:dyDescent="0.3">
      <c r="A101" s="51" t="str">
        <f>IF(ISNA(VLOOKUP(B101,Shortlist_xref!$A$5:$B$77,2,FALSE))=TRUE,"-",VLOOKUP(B101,Shortlist_xref!$A$5:$B$77,2,FALSE))</f>
        <v>-</v>
      </c>
      <c r="B101" s="3" t="s">
        <v>1134</v>
      </c>
      <c r="C101" s="5" t="s">
        <v>133</v>
      </c>
      <c r="D101" s="5" t="s">
        <v>1135</v>
      </c>
      <c r="E101" s="5" t="s">
        <v>53</v>
      </c>
      <c r="F101" s="9">
        <v>135.35012620995116</v>
      </c>
      <c r="G101" s="9">
        <v>151.26797003568248</v>
      </c>
      <c r="H101" s="9">
        <v>224.04098018724275</v>
      </c>
      <c r="I101" s="9">
        <v>552.06375763832989</v>
      </c>
      <c r="J101" s="9">
        <v>200.32615012591793</v>
      </c>
      <c r="K101" s="9">
        <v>136.54017859240668</v>
      </c>
      <c r="L101" s="49" t="s">
        <v>381</v>
      </c>
      <c r="M101" s="49" t="s">
        <v>381</v>
      </c>
      <c r="N101" s="49" t="s">
        <v>381</v>
      </c>
      <c r="O101" s="49" t="s">
        <v>381</v>
      </c>
      <c r="P101" s="49" t="s">
        <v>381</v>
      </c>
      <c r="Q101" s="49" t="s">
        <v>381</v>
      </c>
      <c r="R101" s="30" t="str">
        <f t="shared" si="8"/>
        <v/>
      </c>
      <c r="S101" s="30" t="str">
        <f t="shared" si="9"/>
        <v/>
      </c>
      <c r="T101" s="30" t="str">
        <f t="shared" si="10"/>
        <v/>
      </c>
      <c r="U101" s="30" t="str">
        <f t="shared" si="11"/>
        <v/>
      </c>
      <c r="V101" s="30" t="str">
        <f t="shared" si="12"/>
        <v/>
      </c>
      <c r="W101" s="30" t="str">
        <f t="shared" si="13"/>
        <v/>
      </c>
      <c r="X101" s="30" t="str">
        <f t="shared" si="14"/>
        <v/>
      </c>
    </row>
    <row r="102" spans="1:24" ht="24.2" x14ac:dyDescent="0.3">
      <c r="A102" s="51" t="str">
        <f>IF(ISNA(VLOOKUP(B102,Shortlist_xref!$A$5:$B$77,2,FALSE))=TRUE,"-",VLOOKUP(B102,Shortlist_xref!$A$5:$B$77,2,FALSE))</f>
        <v>EmissRed</v>
      </c>
      <c r="B102" s="3" t="s">
        <v>134</v>
      </c>
      <c r="C102" s="5" t="s">
        <v>133</v>
      </c>
      <c r="D102" s="5" t="s">
        <v>135</v>
      </c>
      <c r="E102" s="5" t="s">
        <v>12</v>
      </c>
      <c r="F102" s="9">
        <v>2106.5512403388811</v>
      </c>
      <c r="G102" s="9">
        <v>709.72933121797621</v>
      </c>
      <c r="H102" s="9">
        <v>1737.6465093339384</v>
      </c>
      <c r="I102" s="9">
        <v>1153.4586039711564</v>
      </c>
      <c r="J102" s="9">
        <v>1561.0839087549193</v>
      </c>
      <c r="K102" s="9">
        <v>846.49348146984937</v>
      </c>
      <c r="L102" s="49" t="s">
        <v>381</v>
      </c>
      <c r="M102" s="49" t="s">
        <v>381</v>
      </c>
      <c r="N102" s="49" t="s">
        <v>381</v>
      </c>
      <c r="O102" s="49" t="s">
        <v>381</v>
      </c>
      <c r="P102" s="49" t="s">
        <v>381</v>
      </c>
      <c r="Q102" s="49" t="s">
        <v>381</v>
      </c>
      <c r="R102" s="30" t="str">
        <f t="shared" si="8"/>
        <v/>
      </c>
      <c r="S102" s="30" t="str">
        <f t="shared" si="9"/>
        <v/>
      </c>
      <c r="T102" s="30" t="str">
        <f t="shared" si="10"/>
        <v/>
      </c>
      <c r="U102" s="30" t="str">
        <f t="shared" si="11"/>
        <v/>
      </c>
      <c r="V102" s="30" t="str">
        <f t="shared" si="12"/>
        <v/>
      </c>
      <c r="W102" s="30" t="str">
        <f t="shared" si="13"/>
        <v/>
      </c>
      <c r="X102" s="30" t="str">
        <f t="shared" si="14"/>
        <v/>
      </c>
    </row>
    <row r="103" spans="1:24" ht="24.2" x14ac:dyDescent="0.3">
      <c r="A103" s="51" t="str">
        <f>IF(ISNA(VLOOKUP(B103,Shortlist_xref!$A$5:$B$77,2,FALSE))=TRUE,"-",VLOOKUP(B103,Shortlist_xref!$A$5:$B$77,2,FALSE))</f>
        <v>EmissRed</v>
      </c>
      <c r="B103" s="3" t="s">
        <v>134</v>
      </c>
      <c r="C103" s="5" t="s">
        <v>133</v>
      </c>
      <c r="D103" s="5" t="s">
        <v>135</v>
      </c>
      <c r="E103" s="5" t="s">
        <v>53</v>
      </c>
      <c r="F103" s="9">
        <v>754.04020356949627</v>
      </c>
      <c r="G103" s="9">
        <v>810.88712717533372</v>
      </c>
      <c r="H103" s="9">
        <v>1215.7355147811556</v>
      </c>
      <c r="I103" s="9">
        <v>2954.4412292077641</v>
      </c>
      <c r="J103" s="9">
        <v>1091.4102612441143</v>
      </c>
      <c r="K103" s="9">
        <v>738.31012694481137</v>
      </c>
      <c r="L103" s="49" t="s">
        <v>381</v>
      </c>
      <c r="M103" s="49" t="s">
        <v>381</v>
      </c>
      <c r="N103" s="49" t="s">
        <v>381</v>
      </c>
      <c r="O103" s="49" t="s">
        <v>381</v>
      </c>
      <c r="P103" s="49" t="s">
        <v>381</v>
      </c>
      <c r="Q103" s="49" t="s">
        <v>381</v>
      </c>
      <c r="R103" s="30" t="str">
        <f t="shared" si="8"/>
        <v/>
      </c>
      <c r="S103" s="30" t="str">
        <f t="shared" si="9"/>
        <v/>
      </c>
      <c r="T103" s="30" t="str">
        <f t="shared" si="10"/>
        <v/>
      </c>
      <c r="U103" s="30" t="str">
        <f t="shared" si="11"/>
        <v/>
      </c>
      <c r="V103" s="30" t="str">
        <f t="shared" si="12"/>
        <v/>
      </c>
      <c r="W103" s="30" t="str">
        <f t="shared" si="13"/>
        <v/>
      </c>
      <c r="X103" s="30" t="str">
        <f t="shared" si="14"/>
        <v/>
      </c>
    </row>
    <row r="104" spans="1:24" ht="36.299999999999997" x14ac:dyDescent="0.3">
      <c r="A104" s="51" t="str">
        <f>IF(ISNA(VLOOKUP(B104,Shortlist_xref!$A$5:$B$77,2,FALSE))=TRUE,"-",VLOOKUP(B104,Shortlist_xref!$A$5:$B$77,2,FALSE))</f>
        <v>EmissRed</v>
      </c>
      <c r="B104" s="3" t="s">
        <v>136</v>
      </c>
      <c r="C104" s="5" t="s">
        <v>133</v>
      </c>
      <c r="D104" s="5" t="s">
        <v>137</v>
      </c>
      <c r="E104" s="5" t="s">
        <v>53</v>
      </c>
      <c r="F104" s="9">
        <v>755.95131644815729</v>
      </c>
      <c r="G104" s="9">
        <v>812.94231842979104</v>
      </c>
      <c r="H104" s="9">
        <v>1218.8167931909079</v>
      </c>
      <c r="I104" s="9">
        <v>2961.9292525991659</v>
      </c>
      <c r="J104" s="9">
        <v>1094.1764376313843</v>
      </c>
      <c r="K104" s="9">
        <v>740.18137198634975</v>
      </c>
      <c r="L104" s="49" t="s">
        <v>381</v>
      </c>
      <c r="M104" s="49" t="s">
        <v>381</v>
      </c>
      <c r="N104" s="49" t="s">
        <v>381</v>
      </c>
      <c r="O104" s="49" t="s">
        <v>381</v>
      </c>
      <c r="P104" s="49" t="s">
        <v>381</v>
      </c>
      <c r="Q104" s="49" t="s">
        <v>381</v>
      </c>
      <c r="R104" s="30" t="str">
        <f t="shared" si="8"/>
        <v/>
      </c>
      <c r="S104" s="30" t="str">
        <f t="shared" si="9"/>
        <v/>
      </c>
      <c r="T104" s="30" t="str">
        <f t="shared" si="10"/>
        <v/>
      </c>
      <c r="U104" s="30" t="str">
        <f t="shared" si="11"/>
        <v/>
      </c>
      <c r="V104" s="30" t="str">
        <f t="shared" si="12"/>
        <v/>
      </c>
      <c r="W104" s="30" t="str">
        <f t="shared" si="13"/>
        <v/>
      </c>
      <c r="X104" s="30" t="str">
        <f t="shared" si="14"/>
        <v/>
      </c>
    </row>
    <row r="105" spans="1:24" ht="36.299999999999997" x14ac:dyDescent="0.3">
      <c r="A105" s="51" t="str">
        <f>IF(ISNA(VLOOKUP(B105,Shortlist_xref!$A$5:$B$77,2,FALSE))=TRUE,"-",VLOOKUP(B105,Shortlist_xref!$A$5:$B$77,2,FALSE))</f>
        <v>EmissRed</v>
      </c>
      <c r="B105" s="3" t="s">
        <v>136</v>
      </c>
      <c r="C105" s="5" t="s">
        <v>133</v>
      </c>
      <c r="D105" s="5" t="s">
        <v>137</v>
      </c>
      <c r="E105" s="5" t="s">
        <v>12</v>
      </c>
      <c r="F105" s="9">
        <v>2123.3571745915597</v>
      </c>
      <c r="G105" s="9">
        <v>715.39150750367071</v>
      </c>
      <c r="H105" s="9">
        <v>1751.5093446787675</v>
      </c>
      <c r="I105" s="9">
        <v>1162.6608246863798</v>
      </c>
      <c r="J105" s="9">
        <v>1573.538138697709</v>
      </c>
      <c r="K105" s="9">
        <v>853.2467536060708</v>
      </c>
      <c r="L105" s="49" t="s">
        <v>381</v>
      </c>
      <c r="M105" s="49" t="s">
        <v>381</v>
      </c>
      <c r="N105" s="49" t="s">
        <v>381</v>
      </c>
      <c r="O105" s="49" t="s">
        <v>381</v>
      </c>
      <c r="P105" s="49" t="s">
        <v>381</v>
      </c>
      <c r="Q105" s="49" t="s">
        <v>381</v>
      </c>
      <c r="R105" s="30"/>
      <c r="S105" s="30"/>
      <c r="T105" s="30"/>
      <c r="U105" s="30"/>
      <c r="V105" s="30"/>
      <c r="W105" s="30"/>
      <c r="X105" s="30"/>
    </row>
    <row r="106" spans="1:24" x14ac:dyDescent="0.3">
      <c r="A106" s="119" t="str">
        <f>Nonpoint_options!A105</f>
        <v>Measures suggested by LADCO/states</v>
      </c>
      <c r="B106" s="87"/>
      <c r="C106" s="85"/>
      <c r="D106" s="26"/>
      <c r="E106" s="26"/>
      <c r="F106" s="46"/>
      <c r="G106" s="46"/>
      <c r="H106" s="46"/>
      <c r="I106" s="46"/>
      <c r="J106" s="46"/>
      <c r="K106" s="46"/>
      <c r="L106" s="47"/>
      <c r="M106" s="47"/>
      <c r="N106" s="47"/>
      <c r="O106" s="47"/>
      <c r="P106" s="47"/>
      <c r="Q106" s="47"/>
      <c r="R106" s="30" t="str">
        <f t="shared" si="8"/>
        <v/>
      </c>
      <c r="S106" s="30" t="str">
        <f t="shared" si="9"/>
        <v/>
      </c>
      <c r="T106" s="30" t="str">
        <f t="shared" si="10"/>
        <v/>
      </c>
      <c r="U106" s="30" t="str">
        <f t="shared" si="11"/>
        <v/>
      </c>
      <c r="V106" s="30" t="str">
        <f t="shared" si="12"/>
        <v/>
      </c>
      <c r="W106" s="30" t="str">
        <f t="shared" si="13"/>
        <v/>
      </c>
      <c r="X106" s="30" t="str">
        <f t="shared" si="14"/>
        <v/>
      </c>
    </row>
    <row r="107" spans="1:24" ht="72.599999999999994" x14ac:dyDescent="0.3">
      <c r="A107" s="51" t="str">
        <f>IF(ISNA(VLOOKUP(B107,Shortlist_xref!$A$5:$B$77,2,FALSE))=TRUE,"-",VLOOKUP(B107,Shortlist_xref!$A$5:$B$77,2,FALSE))</f>
        <v>-</v>
      </c>
      <c r="B107" s="3" t="s">
        <v>1136</v>
      </c>
      <c r="C107" s="5" t="s">
        <v>1137</v>
      </c>
      <c r="D107" s="5" t="s">
        <v>1138</v>
      </c>
      <c r="E107" s="5" t="s">
        <v>12</v>
      </c>
      <c r="F107" s="9">
        <v>7.5186917820135664</v>
      </c>
      <c r="G107" s="9">
        <v>0</v>
      </c>
      <c r="H107" s="9">
        <v>148.91764183602098</v>
      </c>
      <c r="I107" s="9">
        <v>258.2912195810872</v>
      </c>
      <c r="J107" s="9">
        <v>128.53724594231664</v>
      </c>
      <c r="K107" s="9">
        <v>34.316630159603108</v>
      </c>
      <c r="L107" s="49" t="s">
        <v>365</v>
      </c>
      <c r="M107" s="49" t="s">
        <v>366</v>
      </c>
      <c r="N107" s="49" t="s">
        <v>367</v>
      </c>
      <c r="O107" s="49" t="s">
        <v>368</v>
      </c>
      <c r="P107" s="49" t="s">
        <v>369</v>
      </c>
      <c r="Q107" s="49" t="s">
        <v>370</v>
      </c>
      <c r="R107" s="30" t="str">
        <f t="shared" si="8"/>
        <v>IL</v>
      </c>
      <c r="S107" s="30" t="str">
        <f t="shared" si="9"/>
        <v>IN</v>
      </c>
      <c r="T107" s="30" t="str">
        <f t="shared" si="10"/>
        <v>MI</v>
      </c>
      <c r="U107" s="30" t="str">
        <f t="shared" si="11"/>
        <v>MN</v>
      </c>
      <c r="V107" s="30" t="str">
        <f t="shared" si="12"/>
        <v>OH</v>
      </c>
      <c r="W107" s="30" t="str">
        <f t="shared" si="13"/>
        <v>WI</v>
      </c>
      <c r="X107" s="30" t="str">
        <f t="shared" si="14"/>
        <v>ILINMIMNOHWI</v>
      </c>
    </row>
    <row r="108" spans="1:24" s="180" customFormat="1" x14ac:dyDescent="0.3">
      <c r="A108" s="175"/>
      <c r="B108" s="176"/>
      <c r="C108" s="177"/>
      <c r="D108" s="177"/>
      <c r="E108" s="177"/>
      <c r="F108" s="178"/>
      <c r="G108" s="178"/>
      <c r="H108" s="178"/>
      <c r="I108" s="178"/>
      <c r="J108" s="178"/>
      <c r="K108" s="178"/>
      <c r="L108" s="182"/>
      <c r="M108" s="182"/>
      <c r="N108" s="182"/>
      <c r="O108" s="182"/>
      <c r="P108" s="182"/>
      <c r="Q108" s="182"/>
      <c r="R108" s="183"/>
      <c r="S108" s="183"/>
      <c r="T108" s="183"/>
      <c r="U108" s="183"/>
      <c r="V108" s="183"/>
      <c r="W108" s="183"/>
      <c r="X108" s="183"/>
    </row>
    <row r="109" spans="1:24" x14ac:dyDescent="0.3">
      <c r="B109" s="19" t="s">
        <v>73</v>
      </c>
    </row>
    <row r="110" spans="1:24" x14ac:dyDescent="0.3">
      <c r="B110" s="106"/>
      <c r="C110" t="s">
        <v>74</v>
      </c>
    </row>
    <row r="111" spans="1:24" x14ac:dyDescent="0.3">
      <c r="B111" s="106"/>
      <c r="C111" t="s">
        <v>282</v>
      </c>
    </row>
    <row r="112" spans="1:24" x14ac:dyDescent="0.3">
      <c r="B112" s="20"/>
    </row>
    <row r="113" spans="2:2" x14ac:dyDescent="0.3">
      <c r="B113" s="20"/>
    </row>
    <row r="114" spans="2:2" x14ac:dyDescent="0.3">
      <c r="B114" s="20"/>
    </row>
    <row r="115" spans="2:2" x14ac:dyDescent="0.3">
      <c r="B115" s="20"/>
    </row>
    <row r="116" spans="2:2" x14ac:dyDescent="0.3">
      <c r="B116" s="20"/>
    </row>
    <row r="117" spans="2:2" x14ac:dyDescent="0.3">
      <c r="B117" s="20"/>
    </row>
  </sheetData>
  <autoFilter ref="A2:BB111" xr:uid="{3202043D-0B22-4264-A876-A8FDE703B76C}"/>
  <mergeCells count="7">
    <mergeCell ref="L1:Q1"/>
    <mergeCell ref="A1:A2"/>
    <mergeCell ref="B1:B2"/>
    <mergeCell ref="C1:C2"/>
    <mergeCell ref="D1:D2"/>
    <mergeCell ref="E1:E2"/>
    <mergeCell ref="F1:K1"/>
  </mergeCells>
  <pageMargins left="0.7" right="0.7" top="0.75" bottom="0.75" header="0.3" footer="0.3"/>
  <pageSetup orientation="portrait" r:id="rId1"/>
  <ignoredErrors>
    <ignoredError sqref="A106" 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2E562-07B0-457D-9CD4-AFA33BEF1A7B}">
  <sheetPr>
    <tabColor theme="1"/>
  </sheetPr>
  <dimension ref="A1:AB122"/>
  <sheetViews>
    <sheetView zoomScale="70" zoomScaleNormal="70" workbookViewId="0">
      <pane ySplit="1" topLeftCell="A2" activePane="bottomLeft" state="frozen"/>
      <selection pane="bottomLeft" sqref="A1:XFD1048576"/>
    </sheetView>
  </sheetViews>
  <sheetFormatPr defaultRowHeight="14.4" x14ac:dyDescent="0.3"/>
  <cols>
    <col min="1" max="1" width="12.59765625" customWidth="1"/>
    <col min="2" max="2" width="13" customWidth="1"/>
    <col min="3" max="3" width="31.8984375" customWidth="1"/>
    <col min="4" max="4" width="25.296875" customWidth="1"/>
    <col min="5" max="6" width="15.3984375" style="14" customWidth="1"/>
    <col min="7" max="7" width="17.296875" style="14" customWidth="1"/>
    <col min="8" max="8" width="38.09765625" style="14" customWidth="1"/>
    <col min="9" max="9" width="18.796875" customWidth="1"/>
    <col min="10" max="10" width="18.09765625" style="15" customWidth="1"/>
    <col min="11" max="12" width="36.09765625" customWidth="1"/>
    <col min="13" max="13" width="44.5" customWidth="1"/>
    <col min="14" max="14" width="34.09765625" customWidth="1"/>
    <col min="15" max="19" width="20.3984375" customWidth="1"/>
    <col min="20" max="22" width="0" hidden="1" customWidth="1"/>
  </cols>
  <sheetData>
    <row r="1" spans="1:28" ht="57.6" x14ac:dyDescent="0.3">
      <c r="A1" s="44" t="s">
        <v>238</v>
      </c>
      <c r="B1" s="1" t="s">
        <v>0</v>
      </c>
      <c r="C1" s="2" t="s">
        <v>1</v>
      </c>
      <c r="D1" s="2" t="s">
        <v>2</v>
      </c>
      <c r="E1" s="1" t="s">
        <v>3</v>
      </c>
      <c r="F1" s="1" t="s">
        <v>4</v>
      </c>
      <c r="G1" s="1" t="s">
        <v>5</v>
      </c>
      <c r="H1" s="1" t="s">
        <v>6</v>
      </c>
      <c r="I1" s="1" t="s">
        <v>285</v>
      </c>
      <c r="J1" s="24" t="s">
        <v>221</v>
      </c>
      <c r="K1" s="2" t="s">
        <v>7</v>
      </c>
      <c r="L1" s="2" t="s">
        <v>8</v>
      </c>
      <c r="M1" s="143" t="s">
        <v>371</v>
      </c>
      <c r="N1" s="143" t="s">
        <v>372</v>
      </c>
      <c r="O1" s="174" t="s">
        <v>342</v>
      </c>
      <c r="P1" s="174" t="s">
        <v>343</v>
      </c>
      <c r="Q1" s="174" t="s">
        <v>344</v>
      </c>
      <c r="R1" s="174" t="s">
        <v>345</v>
      </c>
      <c r="S1" s="174" t="s">
        <v>346</v>
      </c>
      <c r="T1" s="150"/>
    </row>
    <row r="2" spans="1:28" ht="48.4" x14ac:dyDescent="0.3">
      <c r="A2" s="51" t="str">
        <f>IF(ISNA(VLOOKUP(B2,Shortlist_xref!$A$5:$B$77,2,FALSE))=TRUE,"-",VLOOKUP(B2,Shortlist_xref!$A$5:$B$77,2,FALSE))</f>
        <v>EmissRed</v>
      </c>
      <c r="B2" s="3" t="s">
        <v>9</v>
      </c>
      <c r="C2" s="4" t="s">
        <v>10</v>
      </c>
      <c r="D2" s="5" t="s">
        <v>11</v>
      </c>
      <c r="E2" s="6" t="s">
        <v>12</v>
      </c>
      <c r="F2" s="7">
        <v>0.1</v>
      </c>
      <c r="G2" s="8">
        <v>0.4</v>
      </c>
      <c r="H2" s="9">
        <v>1410</v>
      </c>
      <c r="I2" s="10">
        <v>5.7142175062893847E-4</v>
      </c>
      <c r="J2" s="11">
        <v>2063.2579638288003</v>
      </c>
      <c r="K2" s="12"/>
      <c r="L2" s="12" t="s">
        <v>373</v>
      </c>
      <c r="M2" s="193" t="s">
        <v>374</v>
      </c>
      <c r="N2" s="193" t="s">
        <v>375</v>
      </c>
      <c r="O2" s="173" t="s">
        <v>1171</v>
      </c>
      <c r="P2" s="173" t="s">
        <v>1171</v>
      </c>
      <c r="Q2" s="173" t="s">
        <v>1171</v>
      </c>
      <c r="R2" s="173" t="s">
        <v>1172</v>
      </c>
      <c r="S2" s="173" t="s">
        <v>1172</v>
      </c>
      <c r="T2" s="151" t="b">
        <v>1</v>
      </c>
      <c r="U2" s="188" t="str">
        <f>B2&amp;E2</f>
        <v>P - 1NOx</v>
      </c>
      <c r="V2" s="192">
        <f>H2</f>
        <v>1410</v>
      </c>
      <c r="X2" s="42"/>
      <c r="Y2" s="42"/>
      <c r="Z2" s="42"/>
      <c r="AA2" s="43"/>
      <c r="AB2" s="150"/>
    </row>
    <row r="3" spans="1:28" ht="72.599999999999994" x14ac:dyDescent="0.3">
      <c r="A3" s="51" t="str">
        <f>IF(ISNA(VLOOKUP(B3,Shortlist_xref!$A$5:$B$77,2,FALSE))=TRUE,"-",VLOOKUP(B3,Shortlist_xref!$A$5:$B$77,2,FALSE))</f>
        <v>EmissRed</v>
      </c>
      <c r="B3" s="3" t="s">
        <v>13</v>
      </c>
      <c r="C3" s="4" t="s">
        <v>14</v>
      </c>
      <c r="D3" s="5" t="s">
        <v>15</v>
      </c>
      <c r="E3" s="6" t="s">
        <v>12</v>
      </c>
      <c r="F3" s="7">
        <v>0.1</v>
      </c>
      <c r="G3" s="8">
        <v>0.71799999999999997</v>
      </c>
      <c r="H3" s="3" t="s">
        <v>376</v>
      </c>
      <c r="I3" s="10">
        <v>6.2039100031798411E-4</v>
      </c>
      <c r="J3" s="11">
        <v>4015.8710515308344</v>
      </c>
      <c r="K3" s="12"/>
      <c r="L3" s="12" t="s">
        <v>377</v>
      </c>
      <c r="M3" s="193" t="s">
        <v>374</v>
      </c>
      <c r="N3" s="193" t="s">
        <v>378</v>
      </c>
      <c r="O3" s="173" t="s">
        <v>1171</v>
      </c>
      <c r="P3" s="173" t="s">
        <v>1171</v>
      </c>
      <c r="Q3" s="173" t="s">
        <v>1171</v>
      </c>
      <c r="R3" s="173" t="s">
        <v>1172</v>
      </c>
      <c r="S3" s="173" t="s">
        <v>1172</v>
      </c>
      <c r="T3" s="151" t="b">
        <v>1</v>
      </c>
      <c r="U3" s="188" t="str">
        <f t="shared" ref="U3:U66" si="0">B3&amp;E3</f>
        <v>P - 2NOx</v>
      </c>
      <c r="V3" s="192" t="str">
        <f t="shared" ref="V3:V66" si="1">H3</f>
        <v xml:space="preserve">Cost effectiveness is variable and based on plant size: for a 300MW plant, total capital cost of $60.43 per kW; the fixed O&amp;M costs of $0.40 per kW per year; and variable O&amp;M costs of $0.090 mills per kWh.
The scaling factor for plants from 25MW (Capital Cost and Fixed O&amp;M only) = (300/capacity)^(0.359). </v>
      </c>
      <c r="X3" s="42"/>
      <c r="Y3" s="42"/>
      <c r="Z3" s="42"/>
      <c r="AA3" s="43"/>
      <c r="AB3" s="150"/>
    </row>
    <row r="4" spans="1:28" ht="72.599999999999994" x14ac:dyDescent="0.3">
      <c r="A4" s="51" t="str">
        <f>IF(ISNA(VLOOKUP(B4,Shortlist_xref!$A$5:$B$77,2,FALSE))=TRUE,"-",VLOOKUP(B4,Shortlist_xref!$A$5:$B$77,2,FALSE))</f>
        <v>EmissRed</v>
      </c>
      <c r="B4" s="3" t="s">
        <v>16</v>
      </c>
      <c r="C4" s="4" t="s">
        <v>17</v>
      </c>
      <c r="D4" s="5" t="s">
        <v>18</v>
      </c>
      <c r="E4" s="6" t="s">
        <v>12</v>
      </c>
      <c r="F4" s="7">
        <v>0.1</v>
      </c>
      <c r="G4" s="8">
        <v>0.56799999999999995</v>
      </c>
      <c r="H4" s="3" t="s">
        <v>379</v>
      </c>
      <c r="I4" s="10">
        <v>5.3343464640204599E-4</v>
      </c>
      <c r="J4" s="11">
        <v>2592.9205498092315</v>
      </c>
      <c r="K4" s="12"/>
      <c r="L4" s="12" t="s">
        <v>380</v>
      </c>
      <c r="M4" s="193" t="s">
        <v>374</v>
      </c>
      <c r="N4" s="193" t="s">
        <v>381</v>
      </c>
      <c r="O4" s="173" t="s">
        <v>1171</v>
      </c>
      <c r="P4" s="173" t="s">
        <v>1171</v>
      </c>
      <c r="Q4" s="173" t="s">
        <v>1171</v>
      </c>
      <c r="R4" s="173" t="s">
        <v>1172</v>
      </c>
      <c r="S4" s="173" t="s">
        <v>1172</v>
      </c>
      <c r="T4" s="151" t="b">
        <v>1</v>
      </c>
      <c r="U4" s="188" t="str">
        <f t="shared" si="0"/>
        <v>P - 3NOx</v>
      </c>
      <c r="V4" s="192" t="str">
        <f t="shared" si="1"/>
        <v xml:space="preserve">Cost effectiveness is variable and based on plant size: for a 300MW plant, total capital cost of $44.58 per kW; the fixed O&amp;M costs of $0.30 per kW per year; and variable O&amp;M costs of $0.070 mills per kWh.  The scaling factor for plants from 25MW (Capital Cost and Fixed O&amp;M only) = (300/capacity)^(0.359). </v>
      </c>
      <c r="X4" s="42"/>
      <c r="Y4" s="42"/>
      <c r="Z4" s="42"/>
      <c r="AA4" s="43"/>
      <c r="AB4" s="150"/>
    </row>
    <row r="5" spans="1:28" ht="36.299999999999997" x14ac:dyDescent="0.3">
      <c r="A5" s="51" t="str">
        <f>IF(ISNA(VLOOKUP(B5,Shortlist_xref!$A$5:$B$77,2,FALSE))=TRUE,"-",VLOOKUP(B5,Shortlist_xref!$A$5:$B$77,2,FALSE))</f>
        <v>-</v>
      </c>
      <c r="B5" s="3" t="s">
        <v>19</v>
      </c>
      <c r="C5" s="4" t="s">
        <v>20</v>
      </c>
      <c r="D5" s="5" t="s">
        <v>382</v>
      </c>
      <c r="E5" s="6" t="s">
        <v>12</v>
      </c>
      <c r="F5" s="7">
        <v>0.1</v>
      </c>
      <c r="G5" s="8">
        <v>0.5</v>
      </c>
      <c r="H5" s="3" t="s">
        <v>383</v>
      </c>
      <c r="I5" s="10">
        <v>8.6956353915938181E-5</v>
      </c>
      <c r="J5" s="11">
        <v>514.06710064449999</v>
      </c>
      <c r="K5" s="12"/>
      <c r="L5" s="12" t="s">
        <v>380</v>
      </c>
      <c r="M5" s="193" t="s">
        <v>374</v>
      </c>
      <c r="N5" s="193" t="s">
        <v>381</v>
      </c>
      <c r="O5" s="173" t="s">
        <v>1171</v>
      </c>
      <c r="P5" s="173" t="s">
        <v>1171</v>
      </c>
      <c r="Q5" s="173" t="s">
        <v>1171</v>
      </c>
      <c r="R5" s="173" t="s">
        <v>1172</v>
      </c>
      <c r="S5" s="173" t="s">
        <v>1172</v>
      </c>
      <c r="T5" s="151" t="b">
        <v>1</v>
      </c>
      <c r="U5" s="188" t="str">
        <f t="shared" si="0"/>
        <v>P - 4NOx</v>
      </c>
      <c r="V5" s="192" t="str">
        <f t="shared" si="1"/>
        <v>Cost effectiveness is variable and based on: plant size, the total capital cost of $32.41 per kW, and the fixed O&amp;M of $0.49 per kW per year.</v>
      </c>
      <c r="X5" s="42"/>
      <c r="Y5" s="42"/>
      <c r="Z5" s="42"/>
      <c r="AA5" s="43"/>
      <c r="AB5" s="150"/>
    </row>
    <row r="6" spans="1:28" ht="72.599999999999994" x14ac:dyDescent="0.3">
      <c r="A6" s="51" t="str">
        <f>IF(ISNA(VLOOKUP(B6,Shortlist_xref!$A$5:$B$77,2,FALSE))=TRUE,"-",VLOOKUP(B6,Shortlist_xref!$A$5:$B$77,2,FALSE))</f>
        <v>-</v>
      </c>
      <c r="B6" s="3" t="s">
        <v>384</v>
      </c>
      <c r="C6" s="4" t="s">
        <v>385</v>
      </c>
      <c r="D6" s="5" t="s">
        <v>386</v>
      </c>
      <c r="E6" s="6" t="s">
        <v>12</v>
      </c>
      <c r="F6" s="7">
        <v>0.1</v>
      </c>
      <c r="G6" s="8">
        <v>0.62</v>
      </c>
      <c r="H6" s="3" t="s">
        <v>387</v>
      </c>
      <c r="I6" s="10">
        <v>4.0042245619873905E-4</v>
      </c>
      <c r="J6" s="11">
        <v>1292.3964622290002</v>
      </c>
      <c r="K6" s="12"/>
      <c r="L6" s="12" t="s">
        <v>380</v>
      </c>
      <c r="M6" s="193" t="s">
        <v>374</v>
      </c>
      <c r="N6" s="193" t="s">
        <v>381</v>
      </c>
      <c r="O6" s="173" t="s">
        <v>1171</v>
      </c>
      <c r="P6" s="173" t="s">
        <v>1171</v>
      </c>
      <c r="Q6" s="173" t="s">
        <v>1171</v>
      </c>
      <c r="R6" s="173" t="s">
        <v>1172</v>
      </c>
      <c r="S6" s="173" t="s">
        <v>1172</v>
      </c>
      <c r="T6" s="151" t="b">
        <v>1</v>
      </c>
      <c r="U6" s="188" t="str">
        <f t="shared" si="0"/>
        <v>P - 5NOx</v>
      </c>
      <c r="V6" s="192" t="str">
        <f t="shared" si="1"/>
        <v xml:space="preserve">Cost effectiveness is variable and based on plant size: for a 300MW plant, total capital cost of $37.64 per kW; the fixed O&amp;M costs of $0.30 per kW per year; and variable O&amp;M costs of $0.030 mills per kWh.
The scaling factor for plants from 25MW (Capital Cost and Fixed O&amp;M only) = (300/capacity)^(0.359). </v>
      </c>
      <c r="X6" s="42"/>
      <c r="Y6" s="42"/>
      <c r="Z6" s="42"/>
      <c r="AA6" s="43"/>
      <c r="AB6" s="150"/>
    </row>
    <row r="7" spans="1:28" ht="72.599999999999994" x14ac:dyDescent="0.3">
      <c r="A7" s="51" t="str">
        <f>IF(ISNA(VLOOKUP(B7,Shortlist_xref!$A$5:$B$77,2,FALSE))=TRUE,"-",VLOOKUP(B7,Shortlist_xref!$A$5:$B$77,2,FALSE))</f>
        <v>-</v>
      </c>
      <c r="B7" s="3" t="s">
        <v>388</v>
      </c>
      <c r="C7" s="4" t="s">
        <v>385</v>
      </c>
      <c r="D7" s="5" t="s">
        <v>389</v>
      </c>
      <c r="E7" s="6" t="s">
        <v>12</v>
      </c>
      <c r="F7" s="7">
        <v>0.1</v>
      </c>
      <c r="G7" s="8">
        <v>0.42</v>
      </c>
      <c r="H7" s="3" t="s">
        <v>390</v>
      </c>
      <c r="I7" s="10">
        <v>4.0042245619873905E-4</v>
      </c>
      <c r="J7" s="11">
        <v>875.49437763900005</v>
      </c>
      <c r="K7" s="12"/>
      <c r="L7" s="12" t="s">
        <v>380</v>
      </c>
      <c r="M7" s="193" t="s">
        <v>374</v>
      </c>
      <c r="N7" s="193" t="s">
        <v>381</v>
      </c>
      <c r="O7" s="173" t="s">
        <v>1171</v>
      </c>
      <c r="P7" s="173" t="s">
        <v>1171</v>
      </c>
      <c r="Q7" s="173" t="s">
        <v>1171</v>
      </c>
      <c r="R7" s="173" t="s">
        <v>1171</v>
      </c>
      <c r="S7" s="173" t="s">
        <v>1171</v>
      </c>
      <c r="T7" s="151" t="b">
        <v>1</v>
      </c>
      <c r="U7" s="188" t="str">
        <f t="shared" si="0"/>
        <v>P - 6NOx</v>
      </c>
      <c r="V7" s="192" t="str">
        <f t="shared" si="1"/>
        <v xml:space="preserve">Cost effectiveness is variable and based on plant size: for a 300MW plant, total capital cost of $23.77 per kW; the fixed O&amp;M costs of $0.20 per kW per year; and variable O&amp;M costs of $0.000 mills per kWh.
The scaling factor for plants from 25MW (Capital Cost and Fixed O&amp;M only) = (300/capacity)^(0.359). </v>
      </c>
      <c r="X7" s="42"/>
      <c r="Y7" s="42"/>
      <c r="Z7" s="42"/>
      <c r="AA7" s="43"/>
      <c r="AB7" s="150"/>
    </row>
    <row r="8" spans="1:28" ht="72.599999999999994" x14ac:dyDescent="0.3">
      <c r="A8" s="51" t="str">
        <f>IF(ISNA(VLOOKUP(B8,Shortlist_xref!$A$5:$B$77,2,FALSE))=TRUE,"-",VLOOKUP(B8,Shortlist_xref!$A$5:$B$77,2,FALSE))</f>
        <v>-</v>
      </c>
      <c r="B8" s="3" t="s">
        <v>391</v>
      </c>
      <c r="C8" s="4" t="s">
        <v>385</v>
      </c>
      <c r="D8" s="5" t="s">
        <v>392</v>
      </c>
      <c r="E8" s="6" t="s">
        <v>12</v>
      </c>
      <c r="F8" s="7">
        <v>0.1</v>
      </c>
      <c r="G8" s="8">
        <v>0.47</v>
      </c>
      <c r="H8" s="3" t="s">
        <v>393</v>
      </c>
      <c r="I8" s="10">
        <v>4.0042245619873905E-4</v>
      </c>
      <c r="J8" s="11">
        <v>979.71989878650004</v>
      </c>
      <c r="K8" s="12"/>
      <c r="L8" s="12" t="s">
        <v>380</v>
      </c>
      <c r="M8" s="193" t="s">
        <v>374</v>
      </c>
      <c r="N8" s="193" t="s">
        <v>381</v>
      </c>
      <c r="O8" s="173" t="s">
        <v>1171</v>
      </c>
      <c r="P8" s="173" t="s">
        <v>1171</v>
      </c>
      <c r="Q8" s="173" t="s">
        <v>1171</v>
      </c>
      <c r="R8" s="173" t="s">
        <v>1171</v>
      </c>
      <c r="S8" s="173" t="s">
        <v>1171</v>
      </c>
      <c r="T8" s="151" t="b">
        <v>1</v>
      </c>
      <c r="U8" s="188" t="str">
        <f t="shared" si="0"/>
        <v>P - 7NOx</v>
      </c>
      <c r="V8" s="192" t="str">
        <f t="shared" si="1"/>
        <v xml:space="preserve">Cost effectiveness is variable and based on plant size: for a 300MW plant, total capital cost of $32.69 per kW; the fixed O&amp;M costs of $0.20 per kW per year; and variable O&amp;M costs of $0.030 mills per kWh.
The scaling factor for plants from 25MW (Capital Cost and Fixed O&amp;M only) = (300/capacity)^(0.359). </v>
      </c>
      <c r="X8" s="42"/>
      <c r="Y8" s="42"/>
      <c r="Z8" s="42"/>
      <c r="AA8" s="43"/>
      <c r="AB8" s="150"/>
    </row>
    <row r="9" spans="1:28" ht="36.299999999999997" x14ac:dyDescent="0.3">
      <c r="A9" s="51" t="str">
        <f>IF(ISNA(VLOOKUP(B9,Shortlist_xref!$A$5:$B$77,2,FALSE))=TRUE,"-",VLOOKUP(B9,Shortlist_xref!$A$5:$B$77,2,FALSE))</f>
        <v>-</v>
      </c>
      <c r="B9" s="3" t="s">
        <v>394</v>
      </c>
      <c r="C9" s="4" t="s">
        <v>385</v>
      </c>
      <c r="D9" s="5" t="s">
        <v>382</v>
      </c>
      <c r="E9" s="6" t="s">
        <v>12</v>
      </c>
      <c r="F9" s="7">
        <v>0.1</v>
      </c>
      <c r="G9" s="8">
        <v>0.5</v>
      </c>
      <c r="H9" s="3" t="s">
        <v>383</v>
      </c>
      <c r="I9" s="10">
        <v>3.5402696666583611E-5</v>
      </c>
      <c r="J9" s="11">
        <v>248.28778070049998</v>
      </c>
      <c r="K9" s="12"/>
      <c r="L9" s="12" t="s">
        <v>380</v>
      </c>
      <c r="M9" s="193" t="s">
        <v>374</v>
      </c>
      <c r="N9" s="193" t="s">
        <v>381</v>
      </c>
      <c r="O9" s="173" t="s">
        <v>1171</v>
      </c>
      <c r="P9" s="173" t="s">
        <v>1171</v>
      </c>
      <c r="Q9" s="173" t="s">
        <v>1171</v>
      </c>
      <c r="R9" s="173" t="s">
        <v>1172</v>
      </c>
      <c r="S9" s="173" t="s">
        <v>1172</v>
      </c>
      <c r="T9" s="151" t="b">
        <v>1</v>
      </c>
      <c r="U9" s="188" t="str">
        <f t="shared" si="0"/>
        <v>P - 8NOx</v>
      </c>
      <c r="V9" s="192" t="str">
        <f t="shared" si="1"/>
        <v>Cost effectiveness is variable and based on: plant size, the total capital cost of $32.41 per kW, and the fixed O&amp;M of $0.49 per kW per year.</v>
      </c>
      <c r="X9" s="42"/>
      <c r="Y9" s="42"/>
      <c r="Z9" s="42"/>
      <c r="AA9" s="43"/>
      <c r="AB9" s="150"/>
    </row>
    <row r="10" spans="1:28" ht="48.4" x14ac:dyDescent="0.3">
      <c r="A10" s="51" t="str">
        <f>IF(ISNA(VLOOKUP(B10,Shortlist_xref!$A$5:$B$77,2,FALSE))=TRUE,"-",VLOOKUP(B10,Shortlist_xref!$A$5:$B$77,2,FALSE))</f>
        <v>-</v>
      </c>
      <c r="B10" s="3" t="s">
        <v>395</v>
      </c>
      <c r="C10" s="4" t="s">
        <v>385</v>
      </c>
      <c r="D10" s="5" t="s">
        <v>21</v>
      </c>
      <c r="E10" s="6" t="s">
        <v>12</v>
      </c>
      <c r="F10" s="7">
        <v>0.1</v>
      </c>
      <c r="G10" s="8">
        <v>0.9</v>
      </c>
      <c r="H10" s="9">
        <v>1808</v>
      </c>
      <c r="I10" s="10">
        <v>3.5402696666583611E-5</v>
      </c>
      <c r="J10" s="11">
        <v>446.91800526089997</v>
      </c>
      <c r="K10" s="12"/>
      <c r="L10" s="12" t="s">
        <v>396</v>
      </c>
      <c r="M10" s="193" t="s">
        <v>374</v>
      </c>
      <c r="N10" s="193" t="s">
        <v>375</v>
      </c>
      <c r="O10" s="173" t="s">
        <v>1171</v>
      </c>
      <c r="P10" s="173" t="s">
        <v>1171</v>
      </c>
      <c r="Q10" s="173" t="s">
        <v>1171</v>
      </c>
      <c r="R10" s="173" t="s">
        <v>1171</v>
      </c>
      <c r="S10" s="173" t="s">
        <v>1171</v>
      </c>
      <c r="T10" s="151" t="b">
        <v>1</v>
      </c>
      <c r="U10" s="188" t="str">
        <f t="shared" si="0"/>
        <v>P - 9NOx</v>
      </c>
      <c r="V10" s="192">
        <f t="shared" si="1"/>
        <v>1808</v>
      </c>
      <c r="X10" s="42"/>
      <c r="Y10" s="42"/>
      <c r="Z10" s="42"/>
      <c r="AA10" s="43"/>
      <c r="AB10" s="150"/>
    </row>
    <row r="11" spans="1:28" ht="181.45" x14ac:dyDescent="0.3">
      <c r="A11" s="51" t="str">
        <f>IF(ISNA(VLOOKUP(B11,Shortlist_xref!$A$5:$B$77,2,FALSE))=TRUE,"-",VLOOKUP(B11,Shortlist_xref!$A$5:$B$77,2,FALSE))</f>
        <v>-</v>
      </c>
      <c r="B11" s="3" t="s">
        <v>397</v>
      </c>
      <c r="C11" s="4" t="s">
        <v>385</v>
      </c>
      <c r="D11" s="5" t="s">
        <v>11</v>
      </c>
      <c r="E11" s="6" t="s">
        <v>12</v>
      </c>
      <c r="F11" s="7">
        <v>0.1</v>
      </c>
      <c r="G11" s="8">
        <v>0.42499999999999999</v>
      </c>
      <c r="H11" s="3" t="s">
        <v>398</v>
      </c>
      <c r="I11" s="10">
        <v>3.5402696666583611E-5</v>
      </c>
      <c r="J11" s="11">
        <v>211.04461359542498</v>
      </c>
      <c r="K11" s="12"/>
      <c r="L11" s="12" t="s">
        <v>373</v>
      </c>
      <c r="M11" s="193" t="s">
        <v>374</v>
      </c>
      <c r="N11" s="193" t="s">
        <v>375</v>
      </c>
      <c r="O11" s="173" t="s">
        <v>1171</v>
      </c>
      <c r="P11" s="173" t="s">
        <v>1171</v>
      </c>
      <c r="Q11" s="173" t="s">
        <v>1171</v>
      </c>
      <c r="R11" s="173" t="s">
        <v>1171</v>
      </c>
      <c r="S11" s="173" t="s">
        <v>1171</v>
      </c>
      <c r="T11" s="151" t="b">
        <v>1</v>
      </c>
      <c r="U11" s="188" t="str">
        <f t="shared" si="0"/>
        <v>P - 10NOx</v>
      </c>
      <c r="V11" s="192" t="str">
        <f t="shared" si="1"/>
        <v>- Pulverized: cost effectiveness is variable and based on heat rate: total capital cost of $44.58/kW for 9,000Btu/kWh to $47.55/kW for 11,000Btu/kWh; fixed O&amp;M costs of $0.99 per kW per year (do not depend on heat rate); variable O&amp;M costs of $0.87 mills per kWh for 9,000Btu/kWh to 1.07 mills per kWh for 11,000Btu/kWh.
- Fluidized: cost effectiveness is variable and based on plant size &amp; heat rate: capital cost of $8.92/kW for 1000MW &amp; 9,000Btu/kWh to $35.66/kW for 100MW &amp; 11,000Btu/kWh; fixed O&amp;M costs of $0.99 per kW per year for 1000MW to $0.89per kW per year for 100MW (do not depend on heat rate); variable O&amp;M costs of $0.87 mills per kWh for 9,000Btu/kWh to 1.07 mills per kWh for 11,000Btu/kWh.</v>
      </c>
      <c r="X11" s="42"/>
      <c r="Y11" s="42"/>
      <c r="Z11" s="42"/>
      <c r="AA11" s="43"/>
      <c r="AB11" s="150"/>
    </row>
    <row r="12" spans="1:28" ht="48.4" x14ac:dyDescent="0.3">
      <c r="A12" s="51" t="str">
        <f>IF(ISNA(VLOOKUP(B12,Shortlist_xref!$A$5:$B$77,2,FALSE))=TRUE,"-",VLOOKUP(B12,Shortlist_xref!$A$5:$B$77,2,FALSE))</f>
        <v>EmissRed</v>
      </c>
      <c r="B12" s="3" t="s">
        <v>313</v>
      </c>
      <c r="C12" s="4" t="s">
        <v>20</v>
      </c>
      <c r="D12" s="5" t="s">
        <v>21</v>
      </c>
      <c r="E12" s="6" t="s">
        <v>12</v>
      </c>
      <c r="F12" s="7">
        <v>0.1</v>
      </c>
      <c r="G12" s="8">
        <v>0.85</v>
      </c>
      <c r="H12" s="9">
        <v>3500</v>
      </c>
      <c r="I12" s="10">
        <v>6.2039100031798411E-4</v>
      </c>
      <c r="J12" s="11">
        <v>4754.1648938735507</v>
      </c>
      <c r="K12" s="12"/>
      <c r="L12" s="12" t="s">
        <v>396</v>
      </c>
      <c r="M12" s="193" t="s">
        <v>374</v>
      </c>
      <c r="N12" s="193" t="s">
        <v>375</v>
      </c>
      <c r="O12" s="173" t="s">
        <v>1171</v>
      </c>
      <c r="P12" s="173" t="s">
        <v>1171</v>
      </c>
      <c r="Q12" s="173" t="s">
        <v>1171</v>
      </c>
      <c r="R12" s="173" t="s">
        <v>1172</v>
      </c>
      <c r="S12" s="173" t="s">
        <v>1172</v>
      </c>
      <c r="T12" s="151" t="b">
        <v>1</v>
      </c>
      <c r="U12" s="188" t="str">
        <f t="shared" si="0"/>
        <v>P - 11NOx</v>
      </c>
      <c r="V12" s="192">
        <f t="shared" si="1"/>
        <v>3500</v>
      </c>
      <c r="X12" s="42"/>
      <c r="Y12" s="42"/>
      <c r="Z12" s="42"/>
      <c r="AA12" s="43"/>
      <c r="AB12" s="150"/>
    </row>
    <row r="13" spans="1:28" ht="48.4" x14ac:dyDescent="0.3">
      <c r="A13" s="51" t="str">
        <f>IF(ISNA(VLOOKUP(B13,Shortlist_xref!$A$5:$B$77,2,FALSE))=TRUE,"-",VLOOKUP(B13,Shortlist_xref!$A$5:$B$77,2,FALSE))</f>
        <v>EmissRed</v>
      </c>
      <c r="B13" s="3" t="s">
        <v>314</v>
      </c>
      <c r="C13" s="4" t="s">
        <v>20</v>
      </c>
      <c r="D13" s="5" t="s">
        <v>11</v>
      </c>
      <c r="E13" s="6" t="s">
        <v>12</v>
      </c>
      <c r="F13" s="7">
        <v>0.1</v>
      </c>
      <c r="G13" s="8">
        <v>0.375</v>
      </c>
      <c r="H13" s="9">
        <v>1450</v>
      </c>
      <c r="I13" s="10">
        <v>6.2039100031798411E-4</v>
      </c>
      <c r="J13" s="11">
        <v>2097.4256884736251</v>
      </c>
      <c r="K13" s="12"/>
      <c r="L13" s="12" t="s">
        <v>373</v>
      </c>
      <c r="M13" s="193" t="s">
        <v>374</v>
      </c>
      <c r="N13" s="193" t="s">
        <v>375</v>
      </c>
      <c r="O13" s="173" t="s">
        <v>1171</v>
      </c>
      <c r="P13" s="173" t="s">
        <v>1171</v>
      </c>
      <c r="Q13" s="173" t="s">
        <v>1171</v>
      </c>
      <c r="R13" s="173" t="s">
        <v>1172</v>
      </c>
      <c r="S13" s="173" t="s">
        <v>1172</v>
      </c>
      <c r="T13" s="151" t="b">
        <v>1</v>
      </c>
      <c r="U13" s="188" t="str">
        <f t="shared" si="0"/>
        <v>P - 12NOx</v>
      </c>
      <c r="V13" s="192">
        <f t="shared" si="1"/>
        <v>1450</v>
      </c>
      <c r="X13" s="42"/>
      <c r="Y13" s="42"/>
      <c r="Z13" s="42"/>
      <c r="AA13" s="43"/>
      <c r="AB13" s="150"/>
    </row>
    <row r="14" spans="1:28" ht="72.599999999999994" x14ac:dyDescent="0.3">
      <c r="A14" s="51" t="str">
        <f>IF(ISNA(VLOOKUP(B14,Shortlist_xref!$A$5:$B$77,2,FALSE))=TRUE,"-",VLOOKUP(B14,Shortlist_xref!$A$5:$B$77,2,FALSE))</f>
        <v>EmissRed</v>
      </c>
      <c r="B14" s="3" t="s">
        <v>22</v>
      </c>
      <c r="C14" s="4" t="s">
        <v>23</v>
      </c>
      <c r="D14" s="5" t="s">
        <v>15</v>
      </c>
      <c r="E14" s="6" t="s">
        <v>12</v>
      </c>
      <c r="F14" s="7">
        <v>0.1</v>
      </c>
      <c r="G14" s="8">
        <v>0.72</v>
      </c>
      <c r="H14" s="3" t="s">
        <v>376</v>
      </c>
      <c r="I14" s="10">
        <v>5.2982762858947926E-4</v>
      </c>
      <c r="J14" s="11">
        <v>2037.0016677916803</v>
      </c>
      <c r="K14" s="12"/>
      <c r="L14" s="12" t="s">
        <v>377</v>
      </c>
      <c r="M14" s="193" t="s">
        <v>374</v>
      </c>
      <c r="N14" s="193" t="s">
        <v>378</v>
      </c>
      <c r="O14" s="173" t="s">
        <v>1171</v>
      </c>
      <c r="P14" s="173" t="s">
        <v>1171</v>
      </c>
      <c r="Q14" s="173" t="s">
        <v>1171</v>
      </c>
      <c r="R14" s="173" t="s">
        <v>1172</v>
      </c>
      <c r="S14" s="173" t="s">
        <v>1172</v>
      </c>
      <c r="T14" s="151" t="b">
        <v>1</v>
      </c>
      <c r="U14" s="188" t="str">
        <f t="shared" si="0"/>
        <v>P - 13NOx</v>
      </c>
      <c r="V14" s="192" t="str">
        <f t="shared" si="1"/>
        <v xml:space="preserve">Cost effectiveness is variable and based on plant size: for a 300MW plant, total capital cost of $60.43 per kW; the fixed O&amp;M costs of $0.40 per kW per year; and variable O&amp;M costs of $0.090 mills per kWh.
The scaling factor for plants from 25MW (Capital Cost and Fixed O&amp;M only) = (300/capacity)^(0.359). </v>
      </c>
      <c r="X14" s="42"/>
      <c r="Y14" s="42"/>
      <c r="Z14" s="42"/>
      <c r="AA14" s="43"/>
      <c r="AB14" s="150"/>
    </row>
    <row r="15" spans="1:28" ht="72.599999999999994" x14ac:dyDescent="0.3">
      <c r="A15" s="51" t="str">
        <f>IF(ISNA(VLOOKUP(B15,Shortlist_xref!$A$5:$B$77,2,FALSE))=TRUE,"-",VLOOKUP(B15,Shortlist_xref!$A$5:$B$77,2,FALSE))</f>
        <v>-</v>
      </c>
      <c r="B15" s="3" t="s">
        <v>399</v>
      </c>
      <c r="C15" s="4" t="s">
        <v>400</v>
      </c>
      <c r="D15" s="5" t="s">
        <v>18</v>
      </c>
      <c r="E15" s="6" t="s">
        <v>12</v>
      </c>
      <c r="F15" s="7">
        <v>0.1</v>
      </c>
      <c r="G15" s="8">
        <v>0.56999999999999995</v>
      </c>
      <c r="H15" s="3" t="s">
        <v>401</v>
      </c>
      <c r="I15" s="10">
        <v>5.2982762858947926E-4</v>
      </c>
      <c r="J15" s="11">
        <v>1612.6263203350802</v>
      </c>
      <c r="K15" s="12"/>
      <c r="L15" s="12" t="s">
        <v>380</v>
      </c>
      <c r="M15" s="193" t="s">
        <v>374</v>
      </c>
      <c r="N15" s="193" t="s">
        <v>381</v>
      </c>
      <c r="O15" s="173" t="s">
        <v>1171</v>
      </c>
      <c r="P15" s="173" t="s">
        <v>1171</v>
      </c>
      <c r="Q15" s="173" t="s">
        <v>1171</v>
      </c>
      <c r="R15" s="173" t="s">
        <v>1172</v>
      </c>
      <c r="S15" s="173" t="s">
        <v>1172</v>
      </c>
      <c r="T15" s="151" t="b">
        <v>1</v>
      </c>
      <c r="U15" s="188" t="str">
        <f t="shared" si="0"/>
        <v>P - 14NOx</v>
      </c>
      <c r="V15" s="192" t="str">
        <f t="shared" si="1"/>
        <v xml:space="preserve">Cost effectiveness is variable and based on plant size. For a 300MW plant, total capital cost of $44.58 per kW; fixed O&amp;M costs of $0.30 per kW per year; and variable O&amp;M costs of $0.07 mills per kW per year. Scaling factor for plants from 25MW (Capital Cost and Fixed O&amp;M only) = (300/capacity)^(0.359). </v>
      </c>
      <c r="X15" s="42"/>
      <c r="Y15" s="42"/>
      <c r="Z15" s="42"/>
      <c r="AA15" s="43"/>
      <c r="AB15" s="150"/>
    </row>
    <row r="16" spans="1:28" x14ac:dyDescent="0.3">
      <c r="A16" s="51" t="str">
        <f>IF(ISNA(VLOOKUP(B16,Shortlist_xref!$A$5:$B$77,2,FALSE))=TRUE,"-",VLOOKUP(B16,Shortlist_xref!$A$5:$B$77,2,FALSE))</f>
        <v>EmissRed</v>
      </c>
      <c r="B16" s="3" t="s">
        <v>24</v>
      </c>
      <c r="C16" s="4" t="s">
        <v>25</v>
      </c>
      <c r="D16" s="5" t="s">
        <v>26</v>
      </c>
      <c r="E16" s="6" t="s">
        <v>12</v>
      </c>
      <c r="F16" s="7">
        <v>0.1</v>
      </c>
      <c r="G16" s="8">
        <v>0.9</v>
      </c>
      <c r="H16" s="9">
        <v>1825</v>
      </c>
      <c r="I16" s="10">
        <v>1.0913340875354726E-3</v>
      </c>
      <c r="J16" s="11">
        <v>6957.523090314</v>
      </c>
      <c r="K16" s="12"/>
      <c r="L16" s="12" t="s">
        <v>402</v>
      </c>
      <c r="M16" s="193" t="s">
        <v>403</v>
      </c>
      <c r="N16" s="193" t="s">
        <v>381</v>
      </c>
      <c r="O16" s="173" t="s">
        <v>1171</v>
      </c>
      <c r="P16" s="173" t="s">
        <v>1171</v>
      </c>
      <c r="Q16" s="173" t="s">
        <v>1171</v>
      </c>
      <c r="R16" s="173" t="s">
        <v>1172</v>
      </c>
      <c r="S16" s="173" t="s">
        <v>1172</v>
      </c>
      <c r="T16" s="151" t="b">
        <v>1</v>
      </c>
      <c r="U16" s="188" t="str">
        <f t="shared" si="0"/>
        <v>P - 15NOx</v>
      </c>
      <c r="V16" s="192">
        <f t="shared" si="1"/>
        <v>1825</v>
      </c>
      <c r="X16" s="42"/>
      <c r="Y16" s="42"/>
      <c r="Z16" s="42"/>
      <c r="AA16" s="43"/>
      <c r="AB16" s="150"/>
    </row>
    <row r="17" spans="1:28" ht="24.2" x14ac:dyDescent="0.3">
      <c r="A17" s="51" t="str">
        <f>IF(ISNA(VLOOKUP(B17,Shortlist_xref!$A$5:$B$77,2,FALSE))=TRUE,"-",VLOOKUP(B17,Shortlist_xref!$A$5:$B$77,2,FALSE))</f>
        <v>-</v>
      </c>
      <c r="B17" s="3" t="s">
        <v>404</v>
      </c>
      <c r="C17" s="4" t="s">
        <v>405</v>
      </c>
      <c r="D17" s="5" t="s">
        <v>382</v>
      </c>
      <c r="E17" s="6" t="s">
        <v>12</v>
      </c>
      <c r="F17" s="7">
        <v>0.1</v>
      </c>
      <c r="G17" s="8">
        <v>0.5</v>
      </c>
      <c r="H17" s="9">
        <v>2352</v>
      </c>
      <c r="I17" s="10">
        <v>1.2899207707511346E-4</v>
      </c>
      <c r="J17" s="11">
        <v>248.29920605253096</v>
      </c>
      <c r="K17" s="12"/>
      <c r="L17" s="12" t="s">
        <v>380</v>
      </c>
      <c r="M17" s="193" t="s">
        <v>374</v>
      </c>
      <c r="N17" s="193" t="s">
        <v>381</v>
      </c>
      <c r="O17" s="173" t="s">
        <v>1171</v>
      </c>
      <c r="P17" s="173" t="s">
        <v>1171</v>
      </c>
      <c r="Q17" s="173" t="s">
        <v>1171</v>
      </c>
      <c r="R17" s="173" t="s">
        <v>1172</v>
      </c>
      <c r="S17" s="173" t="s">
        <v>1172</v>
      </c>
      <c r="T17" s="151" t="b">
        <v>1</v>
      </c>
      <c r="U17" s="188" t="str">
        <f t="shared" si="0"/>
        <v>P - 16NOx</v>
      </c>
      <c r="V17" s="192">
        <f t="shared" si="1"/>
        <v>2352</v>
      </c>
      <c r="X17" s="42"/>
      <c r="Y17" s="42"/>
      <c r="Z17" s="42"/>
      <c r="AA17" s="43"/>
      <c r="AB17" s="150"/>
    </row>
    <row r="18" spans="1:28" x14ac:dyDescent="0.3">
      <c r="A18" s="51" t="str">
        <f>IF(ISNA(VLOOKUP(B18,Shortlist_xref!$A$5:$B$77,2,FALSE))=TRUE,"-",VLOOKUP(B18,Shortlist_xref!$A$5:$B$77,2,FALSE))</f>
        <v>-</v>
      </c>
      <c r="B18" s="3" t="s">
        <v>406</v>
      </c>
      <c r="C18" s="4" t="s">
        <v>407</v>
      </c>
      <c r="D18" s="5" t="s">
        <v>26</v>
      </c>
      <c r="E18" s="6" t="s">
        <v>12</v>
      </c>
      <c r="F18" s="7">
        <v>0.1</v>
      </c>
      <c r="G18" s="8">
        <v>0.9</v>
      </c>
      <c r="H18" s="9">
        <v>1825</v>
      </c>
      <c r="I18" s="10">
        <v>1.2899207707511346E-4</v>
      </c>
      <c r="J18" s="11">
        <v>446.93857089455577</v>
      </c>
      <c r="K18" s="12"/>
      <c r="L18" s="12" t="s">
        <v>402</v>
      </c>
      <c r="M18" s="193" t="s">
        <v>403</v>
      </c>
      <c r="N18" s="193" t="s">
        <v>381</v>
      </c>
      <c r="O18" s="173" t="s">
        <v>1171</v>
      </c>
      <c r="P18" s="173" t="s">
        <v>1171</v>
      </c>
      <c r="Q18" s="173" t="s">
        <v>1171</v>
      </c>
      <c r="R18" s="173" t="s">
        <v>1172</v>
      </c>
      <c r="S18" s="173" t="s">
        <v>1172</v>
      </c>
      <c r="T18" s="151" t="b">
        <v>1</v>
      </c>
      <c r="U18" s="188" t="str">
        <f t="shared" si="0"/>
        <v>P - 17NOx</v>
      </c>
      <c r="V18" s="192">
        <f t="shared" si="1"/>
        <v>1825</v>
      </c>
      <c r="X18" s="42"/>
      <c r="Y18" s="42"/>
      <c r="Z18" s="42"/>
      <c r="AA18" s="43"/>
      <c r="AB18" s="150"/>
    </row>
    <row r="19" spans="1:28" ht="24.2" x14ac:dyDescent="0.3">
      <c r="A19" s="51" t="str">
        <f>IF(ISNA(VLOOKUP(B19,Shortlist_xref!$A$5:$B$77,2,FALSE))=TRUE,"-",VLOOKUP(B19,Shortlist_xref!$A$5:$B$77,2,FALSE))</f>
        <v>C-E</v>
      </c>
      <c r="B19" s="3" t="s">
        <v>27</v>
      </c>
      <c r="C19" s="4" t="s">
        <v>28</v>
      </c>
      <c r="D19" s="5" t="s">
        <v>29</v>
      </c>
      <c r="E19" s="6" t="s">
        <v>12</v>
      </c>
      <c r="F19" s="7">
        <v>0.1</v>
      </c>
      <c r="G19" s="8">
        <v>0.23</v>
      </c>
      <c r="H19" s="9">
        <v>407</v>
      </c>
      <c r="I19" s="10">
        <v>2.2008357048433348E-4</v>
      </c>
      <c r="J19" s="11">
        <v>109.06547146460001</v>
      </c>
      <c r="K19" s="12"/>
      <c r="L19" s="12" t="s">
        <v>380</v>
      </c>
      <c r="M19" s="193" t="s">
        <v>374</v>
      </c>
      <c r="N19" s="193" t="s">
        <v>381</v>
      </c>
      <c r="O19" s="173" t="s">
        <v>1171</v>
      </c>
      <c r="P19" s="173" t="s">
        <v>1171</v>
      </c>
      <c r="Q19" s="173" t="s">
        <v>1171</v>
      </c>
      <c r="R19" s="173" t="s">
        <v>1172</v>
      </c>
      <c r="S19" s="173" t="s">
        <v>1172</v>
      </c>
      <c r="T19" s="151" t="b">
        <v>1</v>
      </c>
      <c r="U19" s="188" t="str">
        <f t="shared" si="0"/>
        <v>P - 18NOx</v>
      </c>
      <c r="V19" s="192">
        <f t="shared" si="1"/>
        <v>407</v>
      </c>
      <c r="X19" s="42"/>
      <c r="Y19" s="42"/>
      <c r="Z19" s="42"/>
      <c r="AA19" s="43"/>
      <c r="AB19" s="150"/>
    </row>
    <row r="20" spans="1:28" ht="24.2" x14ac:dyDescent="0.3">
      <c r="A20" s="51" t="str">
        <f>IF(ISNA(VLOOKUP(B20,Shortlist_xref!$A$5:$B$77,2,FALSE))=TRUE,"-",VLOOKUP(B20,Shortlist_xref!$A$5:$B$77,2,FALSE))</f>
        <v>C-E</v>
      </c>
      <c r="B20" s="3" t="s">
        <v>30</v>
      </c>
      <c r="C20" s="4" t="s">
        <v>28</v>
      </c>
      <c r="D20" s="5" t="s">
        <v>31</v>
      </c>
      <c r="E20" s="6" t="s">
        <v>12</v>
      </c>
      <c r="F20" s="7">
        <v>0.1</v>
      </c>
      <c r="G20" s="8">
        <v>0.32500000000000001</v>
      </c>
      <c r="H20" s="9">
        <v>587</v>
      </c>
      <c r="I20" s="10">
        <v>2.2008357048433348E-4</v>
      </c>
      <c r="J20" s="11">
        <v>154.11425315650001</v>
      </c>
      <c r="K20" s="12"/>
      <c r="L20" s="12" t="s">
        <v>380</v>
      </c>
      <c r="M20" s="193" t="s">
        <v>374</v>
      </c>
      <c r="N20" s="193" t="s">
        <v>381</v>
      </c>
      <c r="O20" s="173" t="s">
        <v>1171</v>
      </c>
      <c r="P20" s="173" t="s">
        <v>1171</v>
      </c>
      <c r="Q20" s="173" t="s">
        <v>1171</v>
      </c>
      <c r="R20" s="173" t="s">
        <v>1171</v>
      </c>
      <c r="S20" s="173" t="s">
        <v>1171</v>
      </c>
      <c r="T20" s="151" t="b">
        <v>1</v>
      </c>
      <c r="U20" s="188" t="str">
        <f t="shared" si="0"/>
        <v>P - 19NOx</v>
      </c>
      <c r="V20" s="192">
        <f t="shared" si="1"/>
        <v>587</v>
      </c>
      <c r="X20" s="42"/>
      <c r="Y20" s="42"/>
      <c r="Z20" s="42"/>
      <c r="AA20" s="43"/>
      <c r="AB20" s="150"/>
    </row>
    <row r="21" spans="1:28" ht="24.2" x14ac:dyDescent="0.3">
      <c r="A21" s="51" t="str">
        <f>IF(ISNA(VLOOKUP(B21,Shortlist_xref!$A$5:$B$77,2,FALSE))=TRUE,"-",VLOOKUP(B21,Shortlist_xref!$A$5:$B$77,2,FALSE))</f>
        <v>-</v>
      </c>
      <c r="B21" s="3" t="s">
        <v>408</v>
      </c>
      <c r="C21" s="4" t="s">
        <v>28</v>
      </c>
      <c r="D21" s="5" t="s">
        <v>409</v>
      </c>
      <c r="E21" s="6" t="s">
        <v>12</v>
      </c>
      <c r="F21" s="7">
        <v>0.1</v>
      </c>
      <c r="G21" s="8" t="s">
        <v>410</v>
      </c>
      <c r="H21" s="9" t="s">
        <v>411</v>
      </c>
      <c r="I21" s="10">
        <v>2.2008357048433348E-4</v>
      </c>
      <c r="J21" s="11">
        <v>118.549425505</v>
      </c>
      <c r="K21" s="12"/>
      <c r="L21" s="12" t="s">
        <v>380</v>
      </c>
      <c r="M21" s="193" t="s">
        <v>374</v>
      </c>
      <c r="N21" s="193" t="s">
        <v>381</v>
      </c>
      <c r="O21" s="173" t="s">
        <v>1171</v>
      </c>
      <c r="P21" s="173" t="s">
        <v>1171</v>
      </c>
      <c r="Q21" s="173" t="s">
        <v>1171</v>
      </c>
      <c r="R21" s="173" t="s">
        <v>1171</v>
      </c>
      <c r="S21" s="173" t="s">
        <v>1171</v>
      </c>
      <c r="T21" s="151" t="b">
        <v>1</v>
      </c>
      <c r="U21" s="188" t="str">
        <f t="shared" si="0"/>
        <v>P - 20NOx</v>
      </c>
      <c r="V21" s="192" t="str">
        <f t="shared" si="1"/>
        <v>N/A</v>
      </c>
      <c r="X21" s="42"/>
      <c r="Y21" s="42"/>
      <c r="Z21" s="42"/>
      <c r="AA21" s="43"/>
      <c r="AB21" s="150"/>
    </row>
    <row r="22" spans="1:28" ht="48.4" x14ac:dyDescent="0.3">
      <c r="A22" s="51" t="str">
        <f>IF(ISNA(VLOOKUP(B22,Shortlist_xref!$A$5:$B$77,2,FALSE))=TRUE,"-",VLOOKUP(B22,Shortlist_xref!$A$5:$B$77,2,FALSE))</f>
        <v>-</v>
      </c>
      <c r="B22" s="3" t="s">
        <v>412</v>
      </c>
      <c r="C22" s="4" t="s">
        <v>413</v>
      </c>
      <c r="D22" s="5" t="s">
        <v>414</v>
      </c>
      <c r="E22" s="6" t="s">
        <v>12</v>
      </c>
      <c r="F22" s="7">
        <v>0.1</v>
      </c>
      <c r="G22" s="8">
        <v>0.45</v>
      </c>
      <c r="H22" s="9">
        <v>1407</v>
      </c>
      <c r="I22" s="10">
        <v>2.2877082028119333E-4</v>
      </c>
      <c r="J22" s="11">
        <v>271.15734937950003</v>
      </c>
      <c r="K22" s="12"/>
      <c r="L22" s="12" t="s">
        <v>373</v>
      </c>
      <c r="M22" s="193" t="s">
        <v>374</v>
      </c>
      <c r="N22" s="193" t="s">
        <v>375</v>
      </c>
      <c r="O22" s="173" t="s">
        <v>1171</v>
      </c>
      <c r="P22" s="173" t="s">
        <v>1171</v>
      </c>
      <c r="Q22" s="173" t="s">
        <v>1171</v>
      </c>
      <c r="R22" s="173" t="s">
        <v>1172</v>
      </c>
      <c r="S22" s="173" t="s">
        <v>1172</v>
      </c>
      <c r="T22" s="151" t="b">
        <v>1</v>
      </c>
      <c r="U22" s="188" t="str">
        <f t="shared" si="0"/>
        <v>P - 21NOx</v>
      </c>
      <c r="V22" s="192">
        <f t="shared" si="1"/>
        <v>1407</v>
      </c>
      <c r="X22" s="42"/>
      <c r="Y22" s="42"/>
      <c r="Z22" s="42"/>
      <c r="AA22" s="43"/>
      <c r="AB22" s="150"/>
    </row>
    <row r="23" spans="1:28" ht="48.4" x14ac:dyDescent="0.3">
      <c r="A23" s="51" t="str">
        <f>IF(ISNA(VLOOKUP(B23,Shortlist_xref!$A$5:$B$77,2,FALSE))=TRUE,"-",VLOOKUP(B23,Shortlist_xref!$A$5:$B$77,2,FALSE))</f>
        <v>-</v>
      </c>
      <c r="B23" s="3" t="s">
        <v>415</v>
      </c>
      <c r="C23" s="4" t="s">
        <v>413</v>
      </c>
      <c r="D23" s="5" t="s">
        <v>416</v>
      </c>
      <c r="E23" s="6" t="s">
        <v>12</v>
      </c>
      <c r="F23" s="7">
        <v>0.1</v>
      </c>
      <c r="G23" s="8">
        <v>0.45</v>
      </c>
      <c r="H23" s="9">
        <v>1450</v>
      </c>
      <c r="I23" s="10">
        <v>2.4861478069359541E-4</v>
      </c>
      <c r="J23" s="11">
        <v>412.90595437950003</v>
      </c>
      <c r="K23" s="12"/>
      <c r="L23" s="12" t="s">
        <v>373</v>
      </c>
      <c r="M23" s="193" t="s">
        <v>374</v>
      </c>
      <c r="N23" s="193" t="s">
        <v>375</v>
      </c>
      <c r="O23" s="173" t="s">
        <v>1171</v>
      </c>
      <c r="P23" s="173" t="s">
        <v>1171</v>
      </c>
      <c r="Q23" s="173" t="s">
        <v>1171</v>
      </c>
      <c r="R23" s="173" t="s">
        <v>1172</v>
      </c>
      <c r="S23" s="173" t="s">
        <v>1172</v>
      </c>
      <c r="T23" s="151" t="b">
        <v>1</v>
      </c>
      <c r="U23" s="188" t="str">
        <f t="shared" si="0"/>
        <v>P - 22NOx</v>
      </c>
      <c r="V23" s="192">
        <f t="shared" si="1"/>
        <v>1450</v>
      </c>
      <c r="X23" s="42"/>
      <c r="Y23" s="42"/>
      <c r="Z23" s="42"/>
      <c r="AA23" s="43"/>
      <c r="AB23" s="150"/>
    </row>
    <row r="24" spans="1:28" ht="24.2" x14ac:dyDescent="0.3">
      <c r="A24" s="51" t="str">
        <f>IF(ISNA(VLOOKUP(B24,Shortlist_xref!$A$5:$B$77,2,FALSE))=TRUE,"-",VLOOKUP(B24,Shortlist_xref!$A$5:$B$77,2,FALSE))</f>
        <v>C-E</v>
      </c>
      <c r="B24" s="3" t="s">
        <v>32</v>
      </c>
      <c r="C24" s="4" t="s">
        <v>33</v>
      </c>
      <c r="D24" s="5" t="s">
        <v>18</v>
      </c>
      <c r="E24" s="6" t="s">
        <v>12</v>
      </c>
      <c r="F24" s="7">
        <v>0.1</v>
      </c>
      <c r="G24" s="8">
        <v>0.25</v>
      </c>
      <c r="H24" s="9">
        <v>577</v>
      </c>
      <c r="I24" s="10">
        <v>1.9843960412402099E-5</v>
      </c>
      <c r="J24" s="11">
        <v>78.74922500000001</v>
      </c>
      <c r="K24" s="12"/>
      <c r="L24" s="12" t="s">
        <v>380</v>
      </c>
      <c r="M24" s="193" t="s">
        <v>374</v>
      </c>
      <c r="N24" s="193" t="s">
        <v>381</v>
      </c>
      <c r="O24" s="173" t="s">
        <v>1171</v>
      </c>
      <c r="P24" s="173" t="s">
        <v>1171</v>
      </c>
      <c r="Q24" s="173" t="s">
        <v>1171</v>
      </c>
      <c r="R24" s="173" t="s">
        <v>1172</v>
      </c>
      <c r="S24" s="173" t="s">
        <v>1172</v>
      </c>
      <c r="T24" s="151" t="b">
        <v>1</v>
      </c>
      <c r="U24" s="188" t="str">
        <f t="shared" si="0"/>
        <v>P - 23NOx</v>
      </c>
      <c r="V24" s="192">
        <f t="shared" si="1"/>
        <v>577</v>
      </c>
      <c r="X24" s="42"/>
      <c r="Y24" s="42"/>
      <c r="Z24" s="42"/>
      <c r="AA24" s="43"/>
      <c r="AB24" s="150"/>
    </row>
    <row r="25" spans="1:28" ht="24.2" x14ac:dyDescent="0.3">
      <c r="A25" s="51" t="str">
        <f>IF(ISNA(VLOOKUP(B25,Shortlist_xref!$A$5:$B$77,2,FALSE))=TRUE,"-",VLOOKUP(B25,Shortlist_xref!$A$5:$B$77,2,FALSE))</f>
        <v>C-E</v>
      </c>
      <c r="B25" s="3" t="s">
        <v>34</v>
      </c>
      <c r="C25" s="4" t="s">
        <v>33</v>
      </c>
      <c r="D25" s="5" t="s">
        <v>35</v>
      </c>
      <c r="E25" s="6" t="s">
        <v>12</v>
      </c>
      <c r="F25" s="7">
        <v>0.1</v>
      </c>
      <c r="G25" s="8">
        <v>0.3</v>
      </c>
      <c r="H25" s="9">
        <v>72</v>
      </c>
      <c r="I25" s="10">
        <v>1.9843960412402099E-5</v>
      </c>
      <c r="J25" s="11">
        <v>94.499070000000003</v>
      </c>
      <c r="K25" s="12"/>
      <c r="L25" s="12" t="s">
        <v>380</v>
      </c>
      <c r="M25" s="193" t="s">
        <v>374</v>
      </c>
      <c r="N25" s="193" t="s">
        <v>381</v>
      </c>
      <c r="O25" s="173" t="s">
        <v>1171</v>
      </c>
      <c r="P25" s="173" t="s">
        <v>1171</v>
      </c>
      <c r="Q25" s="173" t="s">
        <v>1171</v>
      </c>
      <c r="R25" s="173" t="s">
        <v>1171</v>
      </c>
      <c r="S25" s="173" t="s">
        <v>1171</v>
      </c>
      <c r="T25" s="151" t="b">
        <v>1</v>
      </c>
      <c r="U25" s="188" t="str">
        <f t="shared" si="0"/>
        <v>P - 24NOx</v>
      </c>
      <c r="V25" s="192">
        <f t="shared" si="1"/>
        <v>72</v>
      </c>
      <c r="X25" s="42"/>
      <c r="Y25" s="42"/>
      <c r="Z25" s="42"/>
      <c r="AA25" s="43"/>
      <c r="AB25" s="150"/>
    </row>
    <row r="26" spans="1:28" ht="48.4" x14ac:dyDescent="0.3">
      <c r="A26" s="51" t="str">
        <f>IF(ISNA(VLOOKUP(B26,Shortlist_xref!$A$5:$B$77,2,FALSE))=TRUE,"-",VLOOKUP(B26,Shortlist_xref!$A$5:$B$77,2,FALSE))</f>
        <v>R-Select</v>
      </c>
      <c r="B26" s="3" t="s">
        <v>36</v>
      </c>
      <c r="C26" s="4" t="s">
        <v>334</v>
      </c>
      <c r="D26" s="5" t="s">
        <v>21</v>
      </c>
      <c r="E26" s="6" t="s">
        <v>12</v>
      </c>
      <c r="F26" s="7">
        <v>0.1</v>
      </c>
      <c r="G26" s="8">
        <v>0.85</v>
      </c>
      <c r="H26" s="9">
        <v>3388</v>
      </c>
      <c r="I26" s="10">
        <v>1.9843960412402099E-5</v>
      </c>
      <c r="J26" s="11">
        <v>267.747365</v>
      </c>
      <c r="K26" s="12"/>
      <c r="L26" s="12" t="s">
        <v>396</v>
      </c>
      <c r="M26" s="193" t="s">
        <v>374</v>
      </c>
      <c r="N26" s="193" t="s">
        <v>375</v>
      </c>
      <c r="O26" s="173" t="s">
        <v>1171</v>
      </c>
      <c r="P26" s="173" t="s">
        <v>1171</v>
      </c>
      <c r="Q26" s="173" t="s">
        <v>1171</v>
      </c>
      <c r="R26" s="173" t="s">
        <v>1171</v>
      </c>
      <c r="S26" s="173" t="s">
        <v>1171</v>
      </c>
      <c r="T26" s="151" t="b">
        <v>1</v>
      </c>
      <c r="U26" s="188" t="str">
        <f t="shared" si="0"/>
        <v>P - 25NOx</v>
      </c>
      <c r="V26" s="192">
        <f t="shared" si="1"/>
        <v>3388</v>
      </c>
      <c r="X26" s="42"/>
      <c r="Y26" s="42"/>
      <c r="Z26" s="42"/>
      <c r="AA26" s="43"/>
      <c r="AB26" s="150"/>
    </row>
    <row r="27" spans="1:28" ht="48.4" x14ac:dyDescent="0.3">
      <c r="A27" s="51" t="str">
        <f>IF(ISNA(VLOOKUP(B27,Shortlist_xref!$A$5:$B$77,2,FALSE))=TRUE,"-",VLOOKUP(B27,Shortlist_xref!$A$5:$B$77,2,FALSE))</f>
        <v>-</v>
      </c>
      <c r="B27" s="3" t="s">
        <v>417</v>
      </c>
      <c r="C27" s="4" t="s">
        <v>418</v>
      </c>
      <c r="D27" s="5" t="s">
        <v>21</v>
      </c>
      <c r="E27" s="6" t="s">
        <v>12</v>
      </c>
      <c r="F27" s="7">
        <v>0.1</v>
      </c>
      <c r="G27" s="8">
        <v>0.85</v>
      </c>
      <c r="H27" s="9">
        <v>2277</v>
      </c>
      <c r="I27" s="10">
        <v>0</v>
      </c>
      <c r="J27" s="11">
        <v>0</v>
      </c>
      <c r="K27" s="12"/>
      <c r="L27" s="12" t="s">
        <v>396</v>
      </c>
      <c r="M27" s="193" t="s">
        <v>374</v>
      </c>
      <c r="N27" s="193" t="s">
        <v>375</v>
      </c>
      <c r="O27" s="173" t="s">
        <v>1171</v>
      </c>
      <c r="P27" s="173" t="s">
        <v>1171</v>
      </c>
      <c r="Q27" s="173" t="s">
        <v>1171</v>
      </c>
      <c r="R27" s="173" t="s">
        <v>1172</v>
      </c>
      <c r="S27" s="173" t="s">
        <v>1172</v>
      </c>
      <c r="T27" s="151" t="b">
        <v>1</v>
      </c>
      <c r="U27" s="188" t="str">
        <f t="shared" si="0"/>
        <v>P - 26NOx</v>
      </c>
      <c r="V27" s="192">
        <f t="shared" si="1"/>
        <v>2277</v>
      </c>
      <c r="X27" s="42"/>
      <c r="Y27" s="42"/>
      <c r="Z27" s="42"/>
      <c r="AA27" s="43"/>
      <c r="AB27" s="150"/>
    </row>
    <row r="28" spans="1:28" ht="48.4" x14ac:dyDescent="0.3">
      <c r="A28" s="51" t="str">
        <f>IF(ISNA(VLOOKUP(B28,Shortlist_xref!$A$5:$B$77,2,FALSE))=TRUE,"-",VLOOKUP(B28,Shortlist_xref!$A$5:$B$77,2,FALSE))</f>
        <v>-</v>
      </c>
      <c r="B28" s="3" t="s">
        <v>419</v>
      </c>
      <c r="C28" s="4" t="s">
        <v>418</v>
      </c>
      <c r="D28" s="5" t="s">
        <v>416</v>
      </c>
      <c r="E28" s="6" t="s">
        <v>12</v>
      </c>
      <c r="F28" s="7">
        <v>0.1</v>
      </c>
      <c r="G28" s="8">
        <v>0.45</v>
      </c>
      <c r="H28" s="9">
        <v>1714</v>
      </c>
      <c r="I28" s="10">
        <v>1.3147681624466854E-6</v>
      </c>
      <c r="J28" s="11">
        <v>1.6391474999999999E-2</v>
      </c>
      <c r="K28" s="12"/>
      <c r="L28" s="12" t="s">
        <v>373</v>
      </c>
      <c r="M28" s="193" t="s">
        <v>374</v>
      </c>
      <c r="N28" s="193" t="s">
        <v>375</v>
      </c>
      <c r="O28" s="173" t="s">
        <v>1171</v>
      </c>
      <c r="P28" s="173" t="s">
        <v>1171</v>
      </c>
      <c r="Q28" s="173" t="s">
        <v>1171</v>
      </c>
      <c r="R28" s="173" t="s">
        <v>1172</v>
      </c>
      <c r="S28" s="173" t="s">
        <v>1172</v>
      </c>
      <c r="T28" s="151" t="b">
        <v>1</v>
      </c>
      <c r="U28" s="188" t="str">
        <f t="shared" si="0"/>
        <v>P - 27NOx</v>
      </c>
      <c r="V28" s="192">
        <f t="shared" si="1"/>
        <v>1714</v>
      </c>
      <c r="X28" s="42"/>
      <c r="Y28" s="42"/>
      <c r="Z28" s="42"/>
      <c r="AA28" s="43"/>
      <c r="AB28" s="150"/>
    </row>
    <row r="29" spans="1:28" x14ac:dyDescent="0.3">
      <c r="A29" s="51" t="str">
        <f>IF(ISNA(VLOOKUP(B29,Shortlist_xref!$A$5:$B$77,2,FALSE))=TRUE,"-",VLOOKUP(B29,Shortlist_xref!$A$5:$B$77,2,FALSE))</f>
        <v>-</v>
      </c>
      <c r="B29" s="3" t="s">
        <v>420</v>
      </c>
      <c r="C29" s="4" t="s">
        <v>28</v>
      </c>
      <c r="D29" s="5" t="s">
        <v>26</v>
      </c>
      <c r="E29" s="6" t="s">
        <v>12</v>
      </c>
      <c r="F29" s="7">
        <v>0.1</v>
      </c>
      <c r="G29" s="8">
        <v>0.9</v>
      </c>
      <c r="H29" s="9">
        <v>1825</v>
      </c>
      <c r="I29" s="10">
        <v>2.4992954885604213E-4</v>
      </c>
      <c r="J29" s="11">
        <v>825.84469170900013</v>
      </c>
      <c r="K29" s="12"/>
      <c r="L29" s="12" t="s">
        <v>402</v>
      </c>
      <c r="M29" s="193" t="s">
        <v>403</v>
      </c>
      <c r="N29" s="193" t="s">
        <v>381</v>
      </c>
      <c r="O29" s="173" t="s">
        <v>1171</v>
      </c>
      <c r="P29" s="173" t="s">
        <v>1171</v>
      </c>
      <c r="Q29" s="173" t="s">
        <v>1171</v>
      </c>
      <c r="R29" s="173" t="s">
        <v>1172</v>
      </c>
      <c r="S29" s="173" t="s">
        <v>1172</v>
      </c>
      <c r="T29" s="151" t="b">
        <v>1</v>
      </c>
      <c r="U29" s="188" t="str">
        <f t="shared" si="0"/>
        <v>P - 28NOx</v>
      </c>
      <c r="V29" s="192">
        <f t="shared" si="1"/>
        <v>1825</v>
      </c>
      <c r="X29" s="42"/>
      <c r="Y29" s="42"/>
      <c r="Z29" s="42"/>
      <c r="AA29" s="43"/>
      <c r="AB29" s="150"/>
    </row>
    <row r="30" spans="1:28" ht="36.299999999999997" x14ac:dyDescent="0.3">
      <c r="A30" s="51" t="str">
        <f>IF(ISNA(VLOOKUP(B30,Shortlist_xref!$A$5:$B$77,2,FALSE))=TRUE,"-",VLOOKUP(B30,Shortlist_xref!$A$5:$B$77,2,FALSE))</f>
        <v>-</v>
      </c>
      <c r="B30" s="3" t="s">
        <v>421</v>
      </c>
      <c r="C30" s="4" t="s">
        <v>422</v>
      </c>
      <c r="D30" s="5" t="s">
        <v>357</v>
      </c>
      <c r="E30" s="6" t="s">
        <v>12</v>
      </c>
      <c r="F30" s="7" t="s">
        <v>37</v>
      </c>
      <c r="G30" s="8" t="s">
        <v>37</v>
      </c>
      <c r="H30" s="9" t="s">
        <v>37</v>
      </c>
      <c r="I30" s="10">
        <v>0</v>
      </c>
      <c r="J30" s="11" t="s">
        <v>37</v>
      </c>
      <c r="K30" s="12" t="s">
        <v>423</v>
      </c>
      <c r="L30" s="12" t="s">
        <v>424</v>
      </c>
      <c r="M30" s="193" t="s">
        <v>425</v>
      </c>
      <c r="N30" s="193" t="s">
        <v>426</v>
      </c>
      <c r="O30" s="173" t="s">
        <v>1171</v>
      </c>
      <c r="P30" s="173" t="s">
        <v>1171</v>
      </c>
      <c r="Q30" s="173" t="s">
        <v>1172</v>
      </c>
      <c r="R30" s="173" t="s">
        <v>1172</v>
      </c>
      <c r="S30" s="173" t="s">
        <v>1171</v>
      </c>
      <c r="T30" s="151" t="b">
        <v>1</v>
      </c>
      <c r="U30" s="188" t="str">
        <f t="shared" si="0"/>
        <v>P - 29NOx</v>
      </c>
      <c r="V30" s="192" t="str">
        <f t="shared" si="1"/>
        <v>NA</v>
      </c>
      <c r="X30" s="42"/>
      <c r="Y30" s="42"/>
      <c r="Z30" s="42"/>
      <c r="AA30" s="43"/>
      <c r="AB30" s="150"/>
    </row>
    <row r="31" spans="1:28" ht="48.4" x14ac:dyDescent="0.3">
      <c r="A31" s="51" t="str">
        <f>IF(ISNA(VLOOKUP(B31,Shortlist_xref!$A$5:$B$77,2,FALSE))=TRUE,"-",VLOOKUP(B31,Shortlist_xref!$A$5:$B$77,2,FALSE))</f>
        <v>-</v>
      </c>
      <c r="B31" s="3" t="s">
        <v>427</v>
      </c>
      <c r="C31" s="4" t="s">
        <v>428</v>
      </c>
      <c r="D31" s="5" t="s">
        <v>21</v>
      </c>
      <c r="E31" s="6" t="s">
        <v>12</v>
      </c>
      <c r="F31" s="7">
        <v>0.1</v>
      </c>
      <c r="G31" s="8">
        <v>0.85</v>
      </c>
      <c r="H31" s="9">
        <v>3574.5</v>
      </c>
      <c r="I31" s="10">
        <v>3.9747060127640223E-4</v>
      </c>
      <c r="J31" s="11">
        <v>118.66529005999999</v>
      </c>
      <c r="K31" s="12"/>
      <c r="L31" s="12" t="s">
        <v>396</v>
      </c>
      <c r="M31" s="193" t="s">
        <v>374</v>
      </c>
      <c r="N31" s="193" t="s">
        <v>375</v>
      </c>
      <c r="O31" s="173" t="s">
        <v>1171</v>
      </c>
      <c r="P31" s="173" t="s">
        <v>1171</v>
      </c>
      <c r="Q31" s="173" t="s">
        <v>1171</v>
      </c>
      <c r="R31" s="173" t="s">
        <v>1172</v>
      </c>
      <c r="S31" s="173" t="s">
        <v>1172</v>
      </c>
      <c r="T31" s="151" t="b">
        <v>1</v>
      </c>
      <c r="U31" s="188" t="str">
        <f t="shared" si="0"/>
        <v>P - 30NOx</v>
      </c>
      <c r="V31" s="192">
        <f t="shared" si="1"/>
        <v>3574.5</v>
      </c>
      <c r="X31" s="42"/>
      <c r="Y31" s="42"/>
      <c r="Z31" s="42"/>
      <c r="AA31" s="43"/>
      <c r="AB31" s="150"/>
    </row>
    <row r="32" spans="1:28" ht="24.2" x14ac:dyDescent="0.3">
      <c r="A32" s="51" t="str">
        <f>IF(ISNA(VLOOKUP(B32,Shortlist_xref!$A$5:$B$77,2,FALSE))=TRUE,"-",VLOOKUP(B32,Shortlist_xref!$A$5:$B$77,2,FALSE))</f>
        <v>-</v>
      </c>
      <c r="B32" s="3" t="s">
        <v>429</v>
      </c>
      <c r="C32" s="4" t="s">
        <v>430</v>
      </c>
      <c r="D32" s="5" t="s">
        <v>18</v>
      </c>
      <c r="E32" s="6" t="s">
        <v>12</v>
      </c>
      <c r="F32" s="7">
        <v>0.1</v>
      </c>
      <c r="G32" s="8">
        <v>0.5</v>
      </c>
      <c r="H32" s="9">
        <v>3210</v>
      </c>
      <c r="I32" s="10">
        <v>3.9747060127640223E-4</v>
      </c>
      <c r="J32" s="11">
        <v>69.803111799999996</v>
      </c>
      <c r="K32" s="12"/>
      <c r="L32" s="12" t="s">
        <v>380</v>
      </c>
      <c r="M32" s="193" t="s">
        <v>374</v>
      </c>
      <c r="N32" s="193" t="s">
        <v>381</v>
      </c>
      <c r="O32" s="173" t="s">
        <v>1171</v>
      </c>
      <c r="P32" s="173" t="s">
        <v>1171</v>
      </c>
      <c r="Q32" s="173" t="s">
        <v>1171</v>
      </c>
      <c r="R32" s="173" t="s">
        <v>1172</v>
      </c>
      <c r="S32" s="173" t="s">
        <v>1172</v>
      </c>
      <c r="T32" s="151" t="b">
        <v>1</v>
      </c>
      <c r="U32" s="188" t="str">
        <f t="shared" si="0"/>
        <v>P - 31NOx</v>
      </c>
      <c r="V32" s="192">
        <f t="shared" si="1"/>
        <v>3210</v>
      </c>
      <c r="X32" s="42"/>
      <c r="Y32" s="42"/>
      <c r="Z32" s="42"/>
      <c r="AA32" s="43"/>
      <c r="AB32" s="150"/>
    </row>
    <row r="33" spans="1:28" ht="48.4" x14ac:dyDescent="0.3">
      <c r="A33" s="51" t="str">
        <f>IF(ISNA(VLOOKUP(B33,Shortlist_xref!$A$5:$B$77,2,FALSE))=TRUE,"-",VLOOKUP(B33,Shortlist_xref!$A$5:$B$77,2,FALSE))</f>
        <v>-</v>
      </c>
      <c r="B33" s="3" t="s">
        <v>431</v>
      </c>
      <c r="C33" s="4" t="s">
        <v>430</v>
      </c>
      <c r="D33" s="5" t="s">
        <v>21</v>
      </c>
      <c r="E33" s="6" t="s">
        <v>12</v>
      </c>
      <c r="F33" s="7">
        <v>0.1</v>
      </c>
      <c r="G33" s="8">
        <v>0.85</v>
      </c>
      <c r="H33" s="9">
        <v>3985</v>
      </c>
      <c r="I33" s="10">
        <v>3.9747060127640223E-4</v>
      </c>
      <c r="J33" s="11">
        <v>118.66529005999999</v>
      </c>
      <c r="K33" s="12"/>
      <c r="L33" s="12" t="s">
        <v>396</v>
      </c>
      <c r="M33" s="193" t="s">
        <v>374</v>
      </c>
      <c r="N33" s="193" t="s">
        <v>375</v>
      </c>
      <c r="O33" s="173" t="s">
        <v>1171</v>
      </c>
      <c r="P33" s="173" t="s">
        <v>1171</v>
      </c>
      <c r="Q33" s="173" t="s">
        <v>1171</v>
      </c>
      <c r="R33" s="173" t="s">
        <v>1172</v>
      </c>
      <c r="S33" s="173" t="s">
        <v>1172</v>
      </c>
      <c r="T33" s="151" t="b">
        <v>1</v>
      </c>
      <c r="U33" s="188" t="str">
        <f t="shared" si="0"/>
        <v>P - 32NOx</v>
      </c>
      <c r="V33" s="192">
        <f t="shared" si="1"/>
        <v>3985</v>
      </c>
      <c r="X33" s="42"/>
      <c r="Y33" s="42"/>
      <c r="Z33" s="42"/>
      <c r="AA33" s="43"/>
      <c r="AB33" s="150"/>
    </row>
    <row r="34" spans="1:28" ht="24.2" x14ac:dyDescent="0.3">
      <c r="A34" s="51" t="str">
        <f>IF(ISNA(VLOOKUP(B34,Shortlist_xref!$A$5:$B$77,2,FALSE))=TRUE,"-",VLOOKUP(B34,Shortlist_xref!$A$5:$B$77,2,FALSE))</f>
        <v>-</v>
      </c>
      <c r="B34" s="3" t="s">
        <v>432</v>
      </c>
      <c r="C34" s="4" t="s">
        <v>433</v>
      </c>
      <c r="D34" s="5" t="s">
        <v>434</v>
      </c>
      <c r="E34" s="6" t="s">
        <v>12</v>
      </c>
      <c r="F34" s="7">
        <v>0.1</v>
      </c>
      <c r="G34" s="8">
        <v>0.55000000000000004</v>
      </c>
      <c r="H34" s="9">
        <v>4542</v>
      </c>
      <c r="I34" s="10">
        <v>3.9747060127640223E-4</v>
      </c>
      <c r="J34" s="11">
        <v>76.783422979999997</v>
      </c>
      <c r="K34" s="12"/>
      <c r="L34" s="12" t="s">
        <v>380</v>
      </c>
      <c r="M34" s="193" t="s">
        <v>374</v>
      </c>
      <c r="N34" s="193" t="s">
        <v>381</v>
      </c>
      <c r="O34" s="173" t="s">
        <v>1171</v>
      </c>
      <c r="P34" s="173" t="s">
        <v>1171</v>
      </c>
      <c r="Q34" s="173" t="s">
        <v>1171</v>
      </c>
      <c r="R34" s="173" t="s">
        <v>1172</v>
      </c>
      <c r="S34" s="173" t="s">
        <v>1172</v>
      </c>
      <c r="T34" s="151" t="b">
        <v>1</v>
      </c>
      <c r="U34" s="188" t="str">
        <f t="shared" si="0"/>
        <v>P - 33NOx</v>
      </c>
      <c r="V34" s="192">
        <f t="shared" si="1"/>
        <v>4542</v>
      </c>
      <c r="X34" s="42"/>
      <c r="Y34" s="42"/>
      <c r="Z34" s="42"/>
      <c r="AA34" s="43"/>
      <c r="AB34" s="150"/>
    </row>
    <row r="35" spans="1:28" ht="48.4" x14ac:dyDescent="0.3">
      <c r="A35" s="51" t="str">
        <f>IF(ISNA(VLOOKUP(B35,Shortlist_xref!$A$5:$B$77,2,FALSE))=TRUE,"-",VLOOKUP(B35,Shortlist_xref!$A$5:$B$77,2,FALSE))</f>
        <v>-</v>
      </c>
      <c r="B35" s="3" t="s">
        <v>435</v>
      </c>
      <c r="C35" s="4" t="s">
        <v>436</v>
      </c>
      <c r="D35" s="5" t="s">
        <v>21</v>
      </c>
      <c r="E35" s="6" t="s">
        <v>12</v>
      </c>
      <c r="F35" s="7">
        <v>0.1</v>
      </c>
      <c r="G35" s="8">
        <v>0.85</v>
      </c>
      <c r="H35" s="9">
        <v>3687</v>
      </c>
      <c r="I35" s="10">
        <v>3.9747060127640223E-4</v>
      </c>
      <c r="J35" s="11">
        <v>118.66529005999999</v>
      </c>
      <c r="K35" s="12"/>
      <c r="L35" s="12" t="s">
        <v>396</v>
      </c>
      <c r="M35" s="193" t="s">
        <v>374</v>
      </c>
      <c r="N35" s="193" t="s">
        <v>375</v>
      </c>
      <c r="O35" s="173" t="s">
        <v>1171</v>
      </c>
      <c r="P35" s="173" t="s">
        <v>1171</v>
      </c>
      <c r="Q35" s="173" t="s">
        <v>1171</v>
      </c>
      <c r="R35" s="173" t="s">
        <v>1171</v>
      </c>
      <c r="S35" s="173" t="s">
        <v>1171</v>
      </c>
      <c r="T35" s="151" t="b">
        <v>1</v>
      </c>
      <c r="U35" s="188" t="str">
        <f t="shared" si="0"/>
        <v>P - 34NOx</v>
      </c>
      <c r="V35" s="192">
        <f t="shared" si="1"/>
        <v>3687</v>
      </c>
      <c r="X35" s="42"/>
      <c r="Y35" s="42"/>
      <c r="Z35" s="42"/>
      <c r="AA35" s="43"/>
      <c r="AB35" s="150"/>
    </row>
    <row r="36" spans="1:28" ht="24.2" x14ac:dyDescent="0.3">
      <c r="A36" s="51" t="str">
        <f>IF(ISNA(VLOOKUP(B36,Shortlist_xref!$A$5:$B$77,2,FALSE))=TRUE,"-",VLOOKUP(B36,Shortlist_xref!$A$5:$B$77,2,FALSE))</f>
        <v>-</v>
      </c>
      <c r="B36" s="3" t="s">
        <v>437</v>
      </c>
      <c r="C36" s="4" t="s">
        <v>438</v>
      </c>
      <c r="D36" s="5" t="s">
        <v>18</v>
      </c>
      <c r="E36" s="6" t="s">
        <v>12</v>
      </c>
      <c r="F36" s="7">
        <v>0.1</v>
      </c>
      <c r="G36" s="8">
        <v>0.5</v>
      </c>
      <c r="H36" s="9">
        <v>915</v>
      </c>
      <c r="I36" s="10">
        <v>0</v>
      </c>
      <c r="J36" s="11">
        <v>0</v>
      </c>
      <c r="K36" s="12"/>
      <c r="L36" s="12" t="s">
        <v>380</v>
      </c>
      <c r="M36" s="193" t="s">
        <v>374</v>
      </c>
      <c r="N36" s="193" t="s">
        <v>381</v>
      </c>
      <c r="O36" s="173" t="s">
        <v>1171</v>
      </c>
      <c r="P36" s="173" t="s">
        <v>1171</v>
      </c>
      <c r="Q36" s="173" t="s">
        <v>1171</v>
      </c>
      <c r="R36" s="173" t="s">
        <v>1172</v>
      </c>
      <c r="S36" s="173" t="s">
        <v>1172</v>
      </c>
      <c r="T36" s="151" t="b">
        <v>1</v>
      </c>
      <c r="U36" s="188" t="str">
        <f t="shared" si="0"/>
        <v>P - 35NOx</v>
      </c>
      <c r="V36" s="192">
        <f t="shared" si="1"/>
        <v>915</v>
      </c>
      <c r="X36" s="42"/>
      <c r="Y36" s="42"/>
      <c r="Z36" s="42"/>
      <c r="AA36" s="43"/>
      <c r="AB36" s="150"/>
    </row>
    <row r="37" spans="1:28" ht="24.2" x14ac:dyDescent="0.3">
      <c r="A37" s="51" t="str">
        <f>IF(ISNA(VLOOKUP(B37,Shortlist_xref!$A$5:$B$77,2,FALSE))=TRUE,"-",VLOOKUP(B37,Shortlist_xref!$A$5:$B$77,2,FALSE))</f>
        <v>-</v>
      </c>
      <c r="B37" s="3" t="s">
        <v>439</v>
      </c>
      <c r="C37" s="4" t="s">
        <v>438</v>
      </c>
      <c r="D37" s="5" t="s">
        <v>434</v>
      </c>
      <c r="E37" s="6" t="s">
        <v>12</v>
      </c>
      <c r="F37" s="7">
        <v>0.1</v>
      </c>
      <c r="G37" s="8">
        <v>0.6</v>
      </c>
      <c r="H37" s="9">
        <v>1204</v>
      </c>
      <c r="I37" s="10">
        <v>0</v>
      </c>
      <c r="J37" s="11">
        <v>0</v>
      </c>
      <c r="K37" s="12"/>
      <c r="L37" s="12" t="s">
        <v>380</v>
      </c>
      <c r="M37" s="193" t="s">
        <v>374</v>
      </c>
      <c r="N37" s="193" t="s">
        <v>381</v>
      </c>
      <c r="O37" s="173" t="s">
        <v>1171</v>
      </c>
      <c r="P37" s="173" t="s">
        <v>1171</v>
      </c>
      <c r="Q37" s="173" t="s">
        <v>1171</v>
      </c>
      <c r="R37" s="173" t="s">
        <v>1172</v>
      </c>
      <c r="S37" s="173" t="s">
        <v>1172</v>
      </c>
      <c r="T37" s="151" t="b">
        <v>1</v>
      </c>
      <c r="U37" s="188" t="str">
        <f t="shared" si="0"/>
        <v>P - 36NOx</v>
      </c>
      <c r="V37" s="192">
        <f t="shared" si="1"/>
        <v>1204</v>
      </c>
      <c r="X37" s="42"/>
      <c r="Y37" s="42"/>
      <c r="Z37" s="42"/>
      <c r="AA37" s="43"/>
      <c r="AB37" s="150"/>
    </row>
    <row r="38" spans="1:28" ht="24.2" x14ac:dyDescent="0.3">
      <c r="A38" s="51" t="str">
        <f>IF(ISNA(VLOOKUP(B38,Shortlist_xref!$A$5:$B$77,2,FALSE))=TRUE,"-",VLOOKUP(B38,Shortlist_xref!$A$5:$B$77,2,FALSE))</f>
        <v>-</v>
      </c>
      <c r="B38" s="3" t="s">
        <v>440</v>
      </c>
      <c r="C38" s="4" t="s">
        <v>438</v>
      </c>
      <c r="D38" s="5" t="s">
        <v>441</v>
      </c>
      <c r="E38" s="6" t="s">
        <v>12</v>
      </c>
      <c r="F38" s="7">
        <v>0.1</v>
      </c>
      <c r="G38" s="8">
        <v>0.9</v>
      </c>
      <c r="H38" s="9">
        <v>6548</v>
      </c>
      <c r="I38" s="10">
        <v>0</v>
      </c>
      <c r="J38" s="11">
        <v>0</v>
      </c>
      <c r="K38" s="12"/>
      <c r="L38" s="12" t="s">
        <v>380</v>
      </c>
      <c r="M38" s="193" t="s">
        <v>374</v>
      </c>
      <c r="N38" s="193" t="s">
        <v>381</v>
      </c>
      <c r="O38" s="173" t="s">
        <v>1171</v>
      </c>
      <c r="P38" s="173" t="s">
        <v>1171</v>
      </c>
      <c r="Q38" s="173" t="s">
        <v>1171</v>
      </c>
      <c r="R38" s="173" t="s">
        <v>1172</v>
      </c>
      <c r="S38" s="173" t="s">
        <v>1172</v>
      </c>
      <c r="T38" s="151" t="b">
        <v>1</v>
      </c>
      <c r="U38" s="188" t="str">
        <f t="shared" si="0"/>
        <v>P - 37NOx</v>
      </c>
      <c r="V38" s="192">
        <f t="shared" si="1"/>
        <v>6548</v>
      </c>
      <c r="X38" s="42"/>
      <c r="Y38" s="42"/>
      <c r="Z38" s="42"/>
      <c r="AA38" s="43"/>
      <c r="AB38" s="150"/>
    </row>
    <row r="39" spans="1:28" ht="24.2" x14ac:dyDescent="0.3">
      <c r="A39" s="51" t="str">
        <f>IF(ISNA(VLOOKUP(B39,Shortlist_xref!$A$5:$B$77,2,FALSE))=TRUE,"-",VLOOKUP(B39,Shortlist_xref!$A$5:$B$77,2,FALSE))</f>
        <v>-</v>
      </c>
      <c r="B39" s="3" t="s">
        <v>442</v>
      </c>
      <c r="C39" s="4" t="s">
        <v>438</v>
      </c>
      <c r="D39" s="5" t="s">
        <v>443</v>
      </c>
      <c r="E39" s="6" t="s">
        <v>12</v>
      </c>
      <c r="F39" s="7">
        <v>0.1</v>
      </c>
      <c r="G39" s="8">
        <v>0.8</v>
      </c>
      <c r="H39" s="9">
        <v>2761</v>
      </c>
      <c r="I39" s="10">
        <v>0</v>
      </c>
      <c r="J39" s="11">
        <v>0</v>
      </c>
      <c r="K39" s="12"/>
      <c r="L39" s="12" t="s">
        <v>380</v>
      </c>
      <c r="M39" s="193" t="s">
        <v>374</v>
      </c>
      <c r="N39" s="193" t="s">
        <v>381</v>
      </c>
      <c r="O39" s="173" t="s">
        <v>1171</v>
      </c>
      <c r="P39" s="173" t="s">
        <v>1171</v>
      </c>
      <c r="Q39" s="173" t="s">
        <v>1171</v>
      </c>
      <c r="R39" s="173" t="s">
        <v>1172</v>
      </c>
      <c r="S39" s="173" t="s">
        <v>1172</v>
      </c>
      <c r="T39" s="151" t="b">
        <v>1</v>
      </c>
      <c r="U39" s="188" t="str">
        <f t="shared" si="0"/>
        <v>P - 38NOx</v>
      </c>
      <c r="V39" s="192">
        <f t="shared" si="1"/>
        <v>2761</v>
      </c>
      <c r="X39" s="42"/>
      <c r="Y39" s="42"/>
      <c r="Z39" s="42"/>
      <c r="AA39" s="43"/>
      <c r="AB39" s="150"/>
    </row>
    <row r="40" spans="1:28" ht="48.4" x14ac:dyDescent="0.3">
      <c r="A40" s="51" t="str">
        <f>IF(ISNA(VLOOKUP(B40,Shortlist_xref!$A$5:$B$77,2,FALSE))=TRUE,"-",VLOOKUP(B40,Shortlist_xref!$A$5:$B$77,2,FALSE))</f>
        <v>-</v>
      </c>
      <c r="B40" s="3" t="s">
        <v>444</v>
      </c>
      <c r="C40" s="4" t="s">
        <v>438</v>
      </c>
      <c r="D40" s="5" t="s">
        <v>21</v>
      </c>
      <c r="E40" s="6" t="s">
        <v>12</v>
      </c>
      <c r="F40" s="7">
        <v>0.1</v>
      </c>
      <c r="G40" s="8">
        <v>0.89666666666666672</v>
      </c>
      <c r="H40" s="9">
        <v>4192</v>
      </c>
      <c r="I40" s="10">
        <v>0</v>
      </c>
      <c r="J40" s="11">
        <v>0</v>
      </c>
      <c r="K40" s="12"/>
      <c r="L40" s="12" t="s">
        <v>396</v>
      </c>
      <c r="M40" s="193" t="s">
        <v>374</v>
      </c>
      <c r="N40" s="193" t="s">
        <v>375</v>
      </c>
      <c r="O40" s="173" t="s">
        <v>1171</v>
      </c>
      <c r="P40" s="173" t="s">
        <v>1171</v>
      </c>
      <c r="Q40" s="173" t="s">
        <v>1171</v>
      </c>
      <c r="R40" s="173" t="s">
        <v>1172</v>
      </c>
      <c r="S40" s="173" t="s">
        <v>1172</v>
      </c>
      <c r="T40" s="151" t="b">
        <v>1</v>
      </c>
      <c r="U40" s="188" t="str">
        <f t="shared" si="0"/>
        <v>P - 39NOx</v>
      </c>
      <c r="V40" s="192">
        <f t="shared" si="1"/>
        <v>4192</v>
      </c>
      <c r="X40" s="42"/>
      <c r="Y40" s="42"/>
      <c r="Z40" s="42"/>
      <c r="AA40" s="43"/>
      <c r="AB40" s="150"/>
    </row>
    <row r="41" spans="1:28" ht="48.4" x14ac:dyDescent="0.3">
      <c r="A41" s="51" t="str">
        <f>IF(ISNA(VLOOKUP(B41,Shortlist_xref!$A$5:$B$77,2,FALSE))=TRUE,"-",VLOOKUP(B41,Shortlist_xref!$A$5:$B$77,2,FALSE))</f>
        <v>-</v>
      </c>
      <c r="B41" s="3" t="s">
        <v>445</v>
      </c>
      <c r="C41" s="4" t="s">
        <v>438</v>
      </c>
      <c r="D41" s="5" t="s">
        <v>446</v>
      </c>
      <c r="E41" s="6" t="s">
        <v>12</v>
      </c>
      <c r="F41" s="7">
        <v>0.1</v>
      </c>
      <c r="G41" s="8">
        <v>0.5</v>
      </c>
      <c r="H41" s="9">
        <v>2566</v>
      </c>
      <c r="I41" s="10">
        <v>0</v>
      </c>
      <c r="J41" s="11">
        <v>0</v>
      </c>
      <c r="K41" s="12"/>
      <c r="L41" s="12" t="s">
        <v>373</v>
      </c>
      <c r="M41" s="193" t="s">
        <v>374</v>
      </c>
      <c r="N41" s="193" t="s">
        <v>375</v>
      </c>
      <c r="O41" s="173" t="s">
        <v>1171</v>
      </c>
      <c r="P41" s="173" t="s">
        <v>1171</v>
      </c>
      <c r="Q41" s="173" t="s">
        <v>1171</v>
      </c>
      <c r="R41" s="173" t="s">
        <v>1172</v>
      </c>
      <c r="S41" s="173" t="s">
        <v>1172</v>
      </c>
      <c r="T41" s="151" t="b">
        <v>1</v>
      </c>
      <c r="U41" s="188" t="str">
        <f t="shared" si="0"/>
        <v>P - 40NOx</v>
      </c>
      <c r="V41" s="192">
        <f t="shared" si="1"/>
        <v>2566</v>
      </c>
      <c r="X41" s="42"/>
      <c r="Y41" s="42"/>
      <c r="Z41" s="42"/>
      <c r="AA41" s="43"/>
      <c r="AB41" s="150"/>
    </row>
    <row r="42" spans="1:28" ht="48.4" x14ac:dyDescent="0.3">
      <c r="A42" s="51" t="str">
        <f>IF(ISNA(VLOOKUP(B42,Shortlist_xref!$A$5:$B$77,2,FALSE))=TRUE,"-",VLOOKUP(B42,Shortlist_xref!$A$5:$B$77,2,FALSE))</f>
        <v>-</v>
      </c>
      <c r="B42" s="3" t="s">
        <v>447</v>
      </c>
      <c r="C42" s="4" t="s">
        <v>448</v>
      </c>
      <c r="D42" s="5" t="s">
        <v>21</v>
      </c>
      <c r="E42" s="6" t="s">
        <v>12</v>
      </c>
      <c r="F42" s="7">
        <v>0.1</v>
      </c>
      <c r="G42" s="8">
        <v>0.85</v>
      </c>
      <c r="H42" s="9">
        <v>10000</v>
      </c>
      <c r="I42" s="10">
        <v>4.1528387118011955E-5</v>
      </c>
      <c r="J42" s="11">
        <v>26.724264519999995</v>
      </c>
      <c r="K42" s="12"/>
      <c r="L42" s="12" t="s">
        <v>396</v>
      </c>
      <c r="M42" s="193" t="s">
        <v>374</v>
      </c>
      <c r="N42" s="193" t="s">
        <v>375</v>
      </c>
      <c r="O42" s="173" t="s">
        <v>1171</v>
      </c>
      <c r="P42" s="173" t="s">
        <v>1171</v>
      </c>
      <c r="Q42" s="173" t="s">
        <v>1171</v>
      </c>
      <c r="R42" s="173" t="s">
        <v>1172</v>
      </c>
      <c r="S42" s="173" t="s">
        <v>1172</v>
      </c>
      <c r="T42" s="151" t="b">
        <v>1</v>
      </c>
      <c r="U42" s="188" t="str">
        <f t="shared" si="0"/>
        <v>P - 41NOx</v>
      </c>
      <c r="V42" s="192">
        <f t="shared" si="1"/>
        <v>10000</v>
      </c>
      <c r="X42" s="42"/>
      <c r="Y42" s="42"/>
      <c r="Z42" s="42"/>
      <c r="AA42" s="43"/>
      <c r="AB42" s="150"/>
    </row>
    <row r="43" spans="1:28" ht="24.2" x14ac:dyDescent="0.3">
      <c r="A43" s="51" t="str">
        <f>IF(ISNA(VLOOKUP(B43,Shortlist_xref!$A$5:$B$77,2,FALSE))=TRUE,"-",VLOOKUP(B43,Shortlist_xref!$A$5:$B$77,2,FALSE))</f>
        <v>-</v>
      </c>
      <c r="B43" s="3" t="s">
        <v>449</v>
      </c>
      <c r="C43" s="4" t="s">
        <v>450</v>
      </c>
      <c r="D43" s="5" t="s">
        <v>18</v>
      </c>
      <c r="E43" s="6" t="s">
        <v>12</v>
      </c>
      <c r="F43" s="7">
        <v>0.1</v>
      </c>
      <c r="G43" s="8">
        <v>0.5</v>
      </c>
      <c r="H43" s="9">
        <v>786</v>
      </c>
      <c r="I43" s="10">
        <v>0</v>
      </c>
      <c r="J43" s="11">
        <v>0</v>
      </c>
      <c r="K43" s="12"/>
      <c r="L43" s="12" t="s">
        <v>380</v>
      </c>
      <c r="M43" s="193" t="s">
        <v>374</v>
      </c>
      <c r="N43" s="193" t="s">
        <v>381</v>
      </c>
      <c r="O43" s="173" t="s">
        <v>1171</v>
      </c>
      <c r="P43" s="173" t="s">
        <v>1171</v>
      </c>
      <c r="Q43" s="173" t="s">
        <v>1171</v>
      </c>
      <c r="R43" s="173" t="s">
        <v>1172</v>
      </c>
      <c r="S43" s="173" t="s">
        <v>1172</v>
      </c>
      <c r="T43" s="151" t="b">
        <v>1</v>
      </c>
      <c r="U43" s="188" t="str">
        <f t="shared" si="0"/>
        <v>P - 42NOx</v>
      </c>
      <c r="V43" s="192">
        <f t="shared" si="1"/>
        <v>786</v>
      </c>
      <c r="X43" s="42"/>
      <c r="Y43" s="42"/>
      <c r="Z43" s="42"/>
      <c r="AA43" s="43"/>
      <c r="AB43" s="150"/>
    </row>
    <row r="44" spans="1:28" ht="24.2" x14ac:dyDescent="0.3">
      <c r="A44" s="51" t="str">
        <f>IF(ISNA(VLOOKUP(B44,Shortlist_xref!$A$5:$B$77,2,FALSE))=TRUE,"-",VLOOKUP(B44,Shortlist_xref!$A$5:$B$77,2,FALSE))</f>
        <v>-</v>
      </c>
      <c r="B44" s="3" t="s">
        <v>451</v>
      </c>
      <c r="C44" s="4" t="s">
        <v>450</v>
      </c>
      <c r="D44" s="5" t="s">
        <v>434</v>
      </c>
      <c r="E44" s="6" t="s">
        <v>12</v>
      </c>
      <c r="F44" s="7">
        <v>0.1</v>
      </c>
      <c r="G44" s="8">
        <v>0.6</v>
      </c>
      <c r="H44" s="9">
        <v>931</v>
      </c>
      <c r="I44" s="10">
        <v>0</v>
      </c>
      <c r="J44" s="11">
        <v>0</v>
      </c>
      <c r="K44" s="12"/>
      <c r="L44" s="12" t="s">
        <v>380</v>
      </c>
      <c r="M44" s="193" t="s">
        <v>374</v>
      </c>
      <c r="N44" s="193" t="s">
        <v>381</v>
      </c>
      <c r="O44" s="173" t="s">
        <v>1171</v>
      </c>
      <c r="P44" s="173" t="s">
        <v>1171</v>
      </c>
      <c r="Q44" s="173" t="s">
        <v>1171</v>
      </c>
      <c r="R44" s="173" t="s">
        <v>1172</v>
      </c>
      <c r="S44" s="173" t="s">
        <v>1172</v>
      </c>
      <c r="T44" s="151" t="b">
        <v>1</v>
      </c>
      <c r="U44" s="188" t="str">
        <f t="shared" si="0"/>
        <v>P - 43NOx</v>
      </c>
      <c r="V44" s="192">
        <f t="shared" si="1"/>
        <v>931</v>
      </c>
      <c r="X44" s="42"/>
      <c r="Y44" s="42"/>
      <c r="Z44" s="42"/>
      <c r="AA44" s="43"/>
      <c r="AB44" s="150"/>
    </row>
    <row r="45" spans="1:28" ht="24.2" x14ac:dyDescent="0.3">
      <c r="A45" s="51" t="str">
        <f>IF(ISNA(VLOOKUP(B45,Shortlist_xref!$A$5:$B$77,2,FALSE))=TRUE,"-",VLOOKUP(B45,Shortlist_xref!$A$5:$B$77,2,FALSE))</f>
        <v>-</v>
      </c>
      <c r="B45" s="3" t="s">
        <v>452</v>
      </c>
      <c r="C45" s="4" t="s">
        <v>38</v>
      </c>
      <c r="D45" s="5" t="s">
        <v>453</v>
      </c>
      <c r="E45" s="6" t="s">
        <v>12</v>
      </c>
      <c r="F45" s="7">
        <v>0.1</v>
      </c>
      <c r="G45" s="8">
        <v>0.13</v>
      </c>
      <c r="H45" s="9">
        <v>2119</v>
      </c>
      <c r="I45" s="10">
        <v>0</v>
      </c>
      <c r="J45" s="11">
        <v>0</v>
      </c>
      <c r="K45" s="12"/>
      <c r="L45" s="12" t="s">
        <v>380</v>
      </c>
      <c r="M45" s="193" t="s">
        <v>374</v>
      </c>
      <c r="N45" s="193" t="s">
        <v>381</v>
      </c>
      <c r="O45" s="173" t="s">
        <v>1171</v>
      </c>
      <c r="P45" s="173" t="s">
        <v>1171</v>
      </c>
      <c r="Q45" s="173" t="s">
        <v>1171</v>
      </c>
      <c r="R45" s="173" t="s">
        <v>1172</v>
      </c>
      <c r="S45" s="173" t="s">
        <v>1172</v>
      </c>
      <c r="T45" s="151" t="b">
        <v>1</v>
      </c>
      <c r="U45" s="188" t="str">
        <f t="shared" si="0"/>
        <v>P - 44NOx</v>
      </c>
      <c r="V45" s="192">
        <f t="shared" si="1"/>
        <v>2119</v>
      </c>
      <c r="X45" s="42"/>
      <c r="Y45" s="42"/>
      <c r="Z45" s="42"/>
      <c r="AA45" s="43"/>
      <c r="AB45" s="150"/>
    </row>
    <row r="46" spans="1:28" ht="24.2" x14ac:dyDescent="0.3">
      <c r="A46" s="51" t="str">
        <f>IF(ISNA(VLOOKUP(B46,Shortlist_xref!$A$5:$B$77,2,FALSE))=TRUE,"-",VLOOKUP(B46,Shortlist_xref!$A$5:$B$77,2,FALSE))</f>
        <v>C-E</v>
      </c>
      <c r="B46" s="3" t="s">
        <v>39</v>
      </c>
      <c r="C46" s="4" t="s">
        <v>38</v>
      </c>
      <c r="D46" s="5" t="s">
        <v>18</v>
      </c>
      <c r="E46" s="6" t="s">
        <v>12</v>
      </c>
      <c r="F46" s="7">
        <v>0.1</v>
      </c>
      <c r="G46" s="8">
        <v>0.66</v>
      </c>
      <c r="H46" s="9">
        <v>481</v>
      </c>
      <c r="I46" s="10">
        <v>0</v>
      </c>
      <c r="J46" s="11">
        <v>0</v>
      </c>
      <c r="K46" s="12"/>
      <c r="L46" s="12" t="s">
        <v>380</v>
      </c>
      <c r="M46" s="193" t="s">
        <v>374</v>
      </c>
      <c r="N46" s="193" t="s">
        <v>381</v>
      </c>
      <c r="O46" s="173" t="s">
        <v>1171</v>
      </c>
      <c r="P46" s="173" t="s">
        <v>1171</v>
      </c>
      <c r="Q46" s="173" t="s">
        <v>1171</v>
      </c>
      <c r="R46" s="173" t="s">
        <v>1172</v>
      </c>
      <c r="S46" s="173" t="s">
        <v>1172</v>
      </c>
      <c r="T46" s="151" t="b">
        <v>1</v>
      </c>
      <c r="U46" s="188" t="str">
        <f t="shared" si="0"/>
        <v>P - 45NOx</v>
      </c>
      <c r="V46" s="192">
        <f t="shared" si="1"/>
        <v>481</v>
      </c>
      <c r="X46" s="42"/>
      <c r="Y46" s="42"/>
      <c r="Z46" s="42"/>
      <c r="AA46" s="43"/>
      <c r="AB46" s="150"/>
    </row>
    <row r="47" spans="1:28" ht="24.2" x14ac:dyDescent="0.3">
      <c r="A47" s="51" t="str">
        <f>IF(ISNA(VLOOKUP(B47,Shortlist_xref!$A$5:$B$77,2,FALSE))=TRUE,"-",VLOOKUP(B47,Shortlist_xref!$A$5:$B$77,2,FALSE))</f>
        <v>-</v>
      </c>
      <c r="B47" s="3" t="s">
        <v>40</v>
      </c>
      <c r="C47" s="4" t="s">
        <v>38</v>
      </c>
      <c r="D47" s="5" t="s">
        <v>434</v>
      </c>
      <c r="E47" s="6" t="s">
        <v>12</v>
      </c>
      <c r="F47" s="7">
        <v>0.1</v>
      </c>
      <c r="G47" s="8">
        <v>0.77</v>
      </c>
      <c r="H47" s="9">
        <v>610</v>
      </c>
      <c r="I47" s="10">
        <v>0</v>
      </c>
      <c r="J47" s="11">
        <v>0</v>
      </c>
      <c r="K47" s="12"/>
      <c r="L47" s="12" t="s">
        <v>380</v>
      </c>
      <c r="M47" s="193" t="s">
        <v>374</v>
      </c>
      <c r="N47" s="193" t="s">
        <v>381</v>
      </c>
      <c r="O47" s="173" t="s">
        <v>1171</v>
      </c>
      <c r="P47" s="173" t="s">
        <v>1171</v>
      </c>
      <c r="Q47" s="173" t="s">
        <v>1171</v>
      </c>
      <c r="R47" s="173" t="s">
        <v>1171</v>
      </c>
      <c r="S47" s="173" t="s">
        <v>1171</v>
      </c>
      <c r="T47" s="151" t="b">
        <v>1</v>
      </c>
      <c r="U47" s="188" t="str">
        <f t="shared" si="0"/>
        <v>P - 46NOx</v>
      </c>
      <c r="V47" s="192">
        <f t="shared" si="1"/>
        <v>610</v>
      </c>
      <c r="X47" s="42"/>
      <c r="Y47" s="42"/>
      <c r="Z47" s="42"/>
      <c r="AA47" s="43"/>
      <c r="AB47" s="150"/>
    </row>
    <row r="48" spans="1:28" ht="24.2" x14ac:dyDescent="0.3">
      <c r="A48" s="51" t="str">
        <f>IF(ISNA(VLOOKUP(B48,Shortlist_xref!$A$5:$B$77,2,FALSE))=TRUE,"-",VLOOKUP(B48,Shortlist_xref!$A$5:$B$77,2,FALSE))</f>
        <v>-</v>
      </c>
      <c r="B48" s="3" t="s">
        <v>41</v>
      </c>
      <c r="C48" s="4" t="s">
        <v>454</v>
      </c>
      <c r="D48" s="5" t="s">
        <v>434</v>
      </c>
      <c r="E48" s="6" t="s">
        <v>12</v>
      </c>
      <c r="F48" s="7">
        <v>0.1</v>
      </c>
      <c r="G48" s="8">
        <v>0.77</v>
      </c>
      <c r="H48" s="9">
        <v>610</v>
      </c>
      <c r="I48" s="10">
        <v>0</v>
      </c>
      <c r="J48" s="11">
        <v>0</v>
      </c>
      <c r="K48" s="12"/>
      <c r="L48" s="12" t="s">
        <v>380</v>
      </c>
      <c r="M48" s="193" t="s">
        <v>374</v>
      </c>
      <c r="N48" s="193" t="s">
        <v>381</v>
      </c>
      <c r="O48" s="173" t="s">
        <v>1171</v>
      </c>
      <c r="P48" s="173" t="s">
        <v>1171</v>
      </c>
      <c r="Q48" s="173" t="s">
        <v>1171</v>
      </c>
      <c r="R48" s="173" t="s">
        <v>1172</v>
      </c>
      <c r="S48" s="173" t="s">
        <v>1172</v>
      </c>
      <c r="T48" s="151" t="b">
        <v>1</v>
      </c>
      <c r="U48" s="188" t="str">
        <f t="shared" si="0"/>
        <v>P - 47NOx</v>
      </c>
      <c r="V48" s="192">
        <f t="shared" si="1"/>
        <v>610</v>
      </c>
      <c r="X48" s="42"/>
      <c r="Y48" s="42"/>
      <c r="Z48" s="42"/>
      <c r="AA48" s="43"/>
      <c r="AB48" s="150"/>
    </row>
    <row r="49" spans="1:28" ht="48.4" x14ac:dyDescent="0.3">
      <c r="A49" s="51" t="str">
        <f>IF(ISNA(VLOOKUP(B49,Shortlist_xref!$A$5:$B$77,2,FALSE))=TRUE,"-",VLOOKUP(B49,Shortlist_xref!$A$5:$B$77,2,FALSE))</f>
        <v>-</v>
      </c>
      <c r="B49" s="3" t="s">
        <v>455</v>
      </c>
      <c r="C49" s="4" t="s">
        <v>456</v>
      </c>
      <c r="D49" s="5" t="s">
        <v>21</v>
      </c>
      <c r="E49" s="6" t="s">
        <v>12</v>
      </c>
      <c r="F49" s="7">
        <v>0.1</v>
      </c>
      <c r="G49" s="8">
        <v>0.85</v>
      </c>
      <c r="H49" s="9">
        <v>4175.5</v>
      </c>
      <c r="I49" s="10">
        <v>1.6781804603767776E-4</v>
      </c>
      <c r="J49" s="11">
        <v>1230.8485080822002</v>
      </c>
      <c r="K49" s="12"/>
      <c r="L49" s="12" t="s">
        <v>396</v>
      </c>
      <c r="M49" s="193" t="s">
        <v>374</v>
      </c>
      <c r="N49" s="193" t="s">
        <v>375</v>
      </c>
      <c r="O49" s="173" t="s">
        <v>1171</v>
      </c>
      <c r="P49" s="173" t="s">
        <v>1171</v>
      </c>
      <c r="Q49" s="173" t="s">
        <v>1171</v>
      </c>
      <c r="R49" s="173" t="s">
        <v>1172</v>
      </c>
      <c r="S49" s="173" t="s">
        <v>1172</v>
      </c>
      <c r="T49" s="151" t="b">
        <v>1</v>
      </c>
      <c r="U49" s="188" t="str">
        <f t="shared" si="0"/>
        <v>P - 48NOx</v>
      </c>
      <c r="V49" s="192">
        <f t="shared" si="1"/>
        <v>4175.5</v>
      </c>
      <c r="X49" s="42"/>
      <c r="Y49" s="42"/>
      <c r="Z49" s="42"/>
      <c r="AA49" s="43"/>
      <c r="AB49" s="150"/>
    </row>
    <row r="50" spans="1:28" ht="24.2" x14ac:dyDescent="0.3">
      <c r="A50" s="51" t="str">
        <f>IF(ISNA(VLOOKUP(B50,Shortlist_xref!$A$5:$B$77,2,FALSE))=TRUE,"-",VLOOKUP(B50,Shortlist_xref!$A$5:$B$77,2,FALSE))</f>
        <v>-</v>
      </c>
      <c r="B50" s="3" t="s">
        <v>457</v>
      </c>
      <c r="C50" s="4" t="s">
        <v>458</v>
      </c>
      <c r="D50" s="5" t="s">
        <v>18</v>
      </c>
      <c r="E50" s="6" t="s">
        <v>12</v>
      </c>
      <c r="F50" s="7">
        <v>0.1</v>
      </c>
      <c r="G50" s="8">
        <v>0.5</v>
      </c>
      <c r="H50" s="9">
        <v>915</v>
      </c>
      <c r="I50" s="10">
        <v>3.7299448971912772E-6</v>
      </c>
      <c r="J50" s="11">
        <v>2.3940486499999998</v>
      </c>
      <c r="K50" s="12"/>
      <c r="L50" s="12" t="s">
        <v>380</v>
      </c>
      <c r="M50" s="193" t="s">
        <v>374</v>
      </c>
      <c r="N50" s="193" t="s">
        <v>381</v>
      </c>
      <c r="O50" s="173" t="s">
        <v>1171</v>
      </c>
      <c r="P50" s="173" t="s">
        <v>1171</v>
      </c>
      <c r="Q50" s="173" t="s">
        <v>1171</v>
      </c>
      <c r="R50" s="173" t="s">
        <v>1172</v>
      </c>
      <c r="S50" s="173" t="s">
        <v>1172</v>
      </c>
      <c r="T50" s="151" t="b">
        <v>1</v>
      </c>
      <c r="U50" s="188" t="str">
        <f t="shared" si="0"/>
        <v>P - 49NOx</v>
      </c>
      <c r="V50" s="192">
        <f t="shared" si="1"/>
        <v>915</v>
      </c>
      <c r="X50" s="42"/>
      <c r="Y50" s="42"/>
      <c r="Z50" s="42"/>
      <c r="AA50" s="43"/>
      <c r="AB50" s="150"/>
    </row>
    <row r="51" spans="1:28" ht="24.2" x14ac:dyDescent="0.3">
      <c r="A51" s="51" t="str">
        <f>IF(ISNA(VLOOKUP(B51,Shortlist_xref!$A$5:$B$77,2,FALSE))=TRUE,"-",VLOOKUP(B51,Shortlist_xref!$A$5:$B$77,2,FALSE))</f>
        <v>-</v>
      </c>
      <c r="B51" s="3" t="s">
        <v>459</v>
      </c>
      <c r="C51" s="4" t="s">
        <v>460</v>
      </c>
      <c r="D51" s="5" t="s">
        <v>434</v>
      </c>
      <c r="E51" s="6" t="s">
        <v>12</v>
      </c>
      <c r="F51" s="7">
        <v>0.1</v>
      </c>
      <c r="G51" s="8">
        <v>0.6</v>
      </c>
      <c r="H51" s="9">
        <v>1204</v>
      </c>
      <c r="I51" s="10">
        <v>0</v>
      </c>
      <c r="J51" s="11">
        <v>0</v>
      </c>
      <c r="K51" s="12"/>
      <c r="L51" s="12" t="s">
        <v>380</v>
      </c>
      <c r="M51" s="193" t="s">
        <v>374</v>
      </c>
      <c r="N51" s="193" t="s">
        <v>381</v>
      </c>
      <c r="O51" s="173" t="s">
        <v>1171</v>
      </c>
      <c r="P51" s="173" t="s">
        <v>1171</v>
      </c>
      <c r="Q51" s="173" t="s">
        <v>1171</v>
      </c>
      <c r="R51" s="173" t="s">
        <v>1172</v>
      </c>
      <c r="S51" s="173" t="s">
        <v>1172</v>
      </c>
      <c r="T51" s="151" t="b">
        <v>1</v>
      </c>
      <c r="U51" s="188" t="str">
        <f t="shared" si="0"/>
        <v>P - 50NOx</v>
      </c>
      <c r="V51" s="192">
        <f t="shared" si="1"/>
        <v>1204</v>
      </c>
      <c r="X51" s="42"/>
      <c r="Y51" s="42"/>
      <c r="Z51" s="42"/>
      <c r="AA51" s="43"/>
      <c r="AB51" s="150"/>
    </row>
    <row r="52" spans="1:28" x14ac:dyDescent="0.3">
      <c r="A52" s="51" t="str">
        <f>IF(ISNA(VLOOKUP(B52,Shortlist_xref!$A$5:$B$77,2,FALSE))=TRUE,"-",VLOOKUP(B52,Shortlist_xref!$A$5:$B$77,2,FALSE))</f>
        <v>-</v>
      </c>
      <c r="B52" s="3" t="s">
        <v>461</v>
      </c>
      <c r="C52" s="4" t="s">
        <v>462</v>
      </c>
      <c r="D52" s="5" t="s">
        <v>26</v>
      </c>
      <c r="E52" s="6" t="s">
        <v>12</v>
      </c>
      <c r="F52" s="7">
        <v>0.1</v>
      </c>
      <c r="G52" s="8">
        <v>0.9</v>
      </c>
      <c r="H52" s="9">
        <v>1825</v>
      </c>
      <c r="I52" s="10">
        <v>3.9747060127640223E-4</v>
      </c>
      <c r="J52" s="11">
        <v>125.64560123999999</v>
      </c>
      <c r="K52" s="12"/>
      <c r="L52" s="12" t="s">
        <v>402</v>
      </c>
      <c r="M52" s="194" t="s">
        <v>403</v>
      </c>
      <c r="N52" s="194" t="s">
        <v>381</v>
      </c>
      <c r="O52" s="173" t="s">
        <v>1171</v>
      </c>
      <c r="P52" s="173" t="s">
        <v>1171</v>
      </c>
      <c r="Q52" s="173" t="s">
        <v>1171</v>
      </c>
      <c r="R52" s="173" t="s">
        <v>1172</v>
      </c>
      <c r="S52" s="173" t="s">
        <v>1172</v>
      </c>
      <c r="T52" s="151" t="b">
        <v>1</v>
      </c>
      <c r="U52" s="188" t="str">
        <f t="shared" si="0"/>
        <v>P - 51NOx</v>
      </c>
      <c r="V52" s="192">
        <f t="shared" si="1"/>
        <v>1825</v>
      </c>
      <c r="X52" s="42"/>
      <c r="Y52" s="42"/>
      <c r="Z52" s="42"/>
      <c r="AA52" s="43"/>
      <c r="AB52" s="150"/>
    </row>
    <row r="53" spans="1:28" ht="36.299999999999997" x14ac:dyDescent="0.3">
      <c r="A53" s="51" t="str">
        <f>IF(ISNA(VLOOKUP(B53,Shortlist_xref!$A$5:$B$77,2,FALSE))=TRUE,"-",VLOOKUP(B53,Shortlist_xref!$A$5:$B$77,2,FALSE))</f>
        <v>-</v>
      </c>
      <c r="B53" s="3" t="s">
        <v>463</v>
      </c>
      <c r="C53" s="4" t="s">
        <v>462</v>
      </c>
      <c r="D53" s="5" t="s">
        <v>357</v>
      </c>
      <c r="E53" s="6" t="s">
        <v>12</v>
      </c>
      <c r="F53" s="7" t="s">
        <v>37</v>
      </c>
      <c r="G53" s="8" t="s">
        <v>37</v>
      </c>
      <c r="H53" s="9" t="s">
        <v>37</v>
      </c>
      <c r="I53" s="10" t="s">
        <v>37</v>
      </c>
      <c r="J53" s="11" t="s">
        <v>37</v>
      </c>
      <c r="K53" s="12" t="s">
        <v>423</v>
      </c>
      <c r="L53" s="12" t="s">
        <v>424</v>
      </c>
      <c r="M53" s="194" t="s">
        <v>425</v>
      </c>
      <c r="N53" s="194" t="s">
        <v>426</v>
      </c>
      <c r="O53" s="173" t="s">
        <v>1171</v>
      </c>
      <c r="P53" s="173" t="s">
        <v>1171</v>
      </c>
      <c r="Q53" s="173" t="s">
        <v>1172</v>
      </c>
      <c r="R53" s="173" t="s">
        <v>1172</v>
      </c>
      <c r="S53" s="173" t="s">
        <v>1171</v>
      </c>
      <c r="T53" s="151" t="b">
        <v>1</v>
      </c>
      <c r="U53" s="188" t="str">
        <f t="shared" si="0"/>
        <v>P - 52NOx</v>
      </c>
      <c r="V53" s="192" t="str">
        <f t="shared" si="1"/>
        <v>NA</v>
      </c>
      <c r="X53" s="42"/>
      <c r="Y53" s="42"/>
      <c r="Z53" s="42"/>
      <c r="AA53" s="43"/>
      <c r="AB53" s="150"/>
    </row>
    <row r="54" spans="1:28" ht="24.2" x14ac:dyDescent="0.3">
      <c r="A54" s="51" t="str">
        <f>IF(ISNA(VLOOKUP(B54,Shortlist_xref!$A$5:$B$77,2,FALSE))=TRUE,"-",VLOOKUP(B54,Shortlist_xref!$A$5:$B$77,2,FALSE))</f>
        <v>-</v>
      </c>
      <c r="B54" s="3" t="s">
        <v>464</v>
      </c>
      <c r="C54" s="4" t="s">
        <v>465</v>
      </c>
      <c r="D54" s="5" t="s">
        <v>466</v>
      </c>
      <c r="E54" s="6" t="s">
        <v>12</v>
      </c>
      <c r="F54" s="7">
        <v>0.1</v>
      </c>
      <c r="G54" s="8">
        <v>0.87</v>
      </c>
      <c r="H54" s="9">
        <v>628</v>
      </c>
      <c r="I54" s="10">
        <v>1.0888687564095413E-3</v>
      </c>
      <c r="J54" s="11">
        <v>782.81420233115091</v>
      </c>
      <c r="K54" s="12"/>
      <c r="L54" s="12" t="s">
        <v>380</v>
      </c>
      <c r="M54" s="193" t="s">
        <v>374</v>
      </c>
      <c r="N54" s="193" t="s">
        <v>381</v>
      </c>
      <c r="O54" s="173" t="s">
        <v>1171</v>
      </c>
      <c r="P54" s="173" t="s">
        <v>1171</v>
      </c>
      <c r="Q54" s="173" t="s">
        <v>1171</v>
      </c>
      <c r="R54" s="173" t="s">
        <v>1172</v>
      </c>
      <c r="S54" s="173" t="s">
        <v>1172</v>
      </c>
      <c r="T54" s="151" t="b">
        <v>1</v>
      </c>
      <c r="U54" s="188" t="str">
        <f t="shared" si="0"/>
        <v>P - 53NOx</v>
      </c>
      <c r="V54" s="192">
        <f t="shared" si="1"/>
        <v>628</v>
      </c>
      <c r="X54" s="42"/>
      <c r="Y54" s="42"/>
      <c r="Z54" s="42"/>
      <c r="AA54" s="43"/>
      <c r="AB54" s="150"/>
    </row>
    <row r="55" spans="1:28" ht="24.2" x14ac:dyDescent="0.3">
      <c r="A55" s="51" t="str">
        <f>IF(ISNA(VLOOKUP(B55,Shortlist_xref!$A$5:$B$77,2,FALSE))=TRUE,"-",VLOOKUP(B55,Shortlist_xref!$A$5:$B$77,2,FALSE))</f>
        <v>C-E</v>
      </c>
      <c r="B55" s="3" t="s">
        <v>42</v>
      </c>
      <c r="C55" s="4" t="s">
        <v>43</v>
      </c>
      <c r="D55" s="5" t="s">
        <v>44</v>
      </c>
      <c r="E55" s="6" t="s">
        <v>12</v>
      </c>
      <c r="F55" s="7">
        <v>0.1</v>
      </c>
      <c r="G55" s="8">
        <v>0.9</v>
      </c>
      <c r="H55" s="9">
        <v>509</v>
      </c>
      <c r="I55" s="10">
        <v>1.1947100793289238E-4</v>
      </c>
      <c r="J55" s="11">
        <v>245.81251641343334</v>
      </c>
      <c r="K55" s="12"/>
      <c r="L55" s="12" t="s">
        <v>380</v>
      </c>
      <c r="M55" s="193" t="s">
        <v>374</v>
      </c>
      <c r="N55" s="193" t="s">
        <v>381</v>
      </c>
      <c r="O55" s="173" t="s">
        <v>1171</v>
      </c>
      <c r="P55" s="173" t="s">
        <v>1171</v>
      </c>
      <c r="Q55" s="173" t="s">
        <v>1171</v>
      </c>
      <c r="R55" s="173" t="s">
        <v>1172</v>
      </c>
      <c r="S55" s="173" t="s">
        <v>1172</v>
      </c>
      <c r="T55" s="151" t="b">
        <v>1</v>
      </c>
      <c r="U55" s="188" t="str">
        <f t="shared" si="0"/>
        <v>P - 54NOx</v>
      </c>
      <c r="V55" s="192">
        <f t="shared" si="1"/>
        <v>509</v>
      </c>
      <c r="X55" s="42"/>
      <c r="Y55" s="42"/>
      <c r="Z55" s="42"/>
      <c r="AA55" s="43"/>
      <c r="AB55" s="150"/>
    </row>
    <row r="56" spans="1:28" ht="24.2" x14ac:dyDescent="0.3">
      <c r="A56" s="51" t="str">
        <f>IF(ISNA(VLOOKUP(B56,Shortlist_xref!$A$5:$B$77,2,FALSE))=TRUE,"-",VLOOKUP(B56,Shortlist_xref!$A$5:$B$77,2,FALSE))</f>
        <v>-</v>
      </c>
      <c r="B56" s="3" t="s">
        <v>467</v>
      </c>
      <c r="C56" s="4" t="s">
        <v>45</v>
      </c>
      <c r="D56" s="5" t="s">
        <v>468</v>
      </c>
      <c r="E56" s="6" t="s">
        <v>12</v>
      </c>
      <c r="F56" s="7">
        <v>0.1</v>
      </c>
      <c r="G56" s="8">
        <v>0.87</v>
      </c>
      <c r="H56" s="9">
        <v>1853.5</v>
      </c>
      <c r="I56" s="10">
        <v>6.7001375711072796E-4</v>
      </c>
      <c r="J56" s="11">
        <v>1711.3108478584795</v>
      </c>
      <c r="K56" s="12"/>
      <c r="L56" s="12" t="s">
        <v>380</v>
      </c>
      <c r="M56" s="193" t="s">
        <v>374</v>
      </c>
      <c r="N56" s="193" t="s">
        <v>381</v>
      </c>
      <c r="O56" s="173" t="s">
        <v>1171</v>
      </c>
      <c r="P56" s="173" t="s">
        <v>1171</v>
      </c>
      <c r="Q56" s="173" t="s">
        <v>1171</v>
      </c>
      <c r="R56" s="173" t="s">
        <v>1172</v>
      </c>
      <c r="S56" s="173" t="s">
        <v>1172</v>
      </c>
      <c r="T56" s="151" t="b">
        <v>1</v>
      </c>
      <c r="U56" s="188" t="str">
        <f t="shared" si="0"/>
        <v>P - 55NOx</v>
      </c>
      <c r="V56" s="192">
        <f t="shared" si="1"/>
        <v>1853.5</v>
      </c>
      <c r="X56" s="42"/>
      <c r="Y56" s="42"/>
      <c r="Z56" s="42"/>
      <c r="AA56" s="43"/>
      <c r="AB56" s="150"/>
    </row>
    <row r="57" spans="1:28" ht="24.2" x14ac:dyDescent="0.3">
      <c r="A57" s="51" t="str">
        <f>IF(ISNA(VLOOKUP(B57,Shortlist_xref!$A$5:$B$77,2,FALSE))=TRUE,"-",VLOOKUP(B57,Shortlist_xref!$A$5:$B$77,2,FALSE))</f>
        <v>EmissRed</v>
      </c>
      <c r="B57" s="3" t="s">
        <v>46</v>
      </c>
      <c r="C57" s="4" t="s">
        <v>45</v>
      </c>
      <c r="D57" s="5" t="s">
        <v>47</v>
      </c>
      <c r="E57" s="6" t="s">
        <v>12</v>
      </c>
      <c r="F57" s="7">
        <v>0.1</v>
      </c>
      <c r="G57" s="8">
        <v>0.87</v>
      </c>
      <c r="H57" s="9">
        <v>610</v>
      </c>
      <c r="I57" s="10">
        <v>2.3590383063756028E-3</v>
      </c>
      <c r="J57" s="11">
        <v>3551.0816500004703</v>
      </c>
      <c r="K57" s="12"/>
      <c r="L57" s="12" t="s">
        <v>380</v>
      </c>
      <c r="M57" s="193" t="s">
        <v>374</v>
      </c>
      <c r="N57" s="193" t="s">
        <v>381</v>
      </c>
      <c r="O57" s="173" t="s">
        <v>1171</v>
      </c>
      <c r="P57" s="173" t="s">
        <v>1171</v>
      </c>
      <c r="Q57" s="173" t="s">
        <v>1171</v>
      </c>
      <c r="R57" s="173" t="s">
        <v>1172</v>
      </c>
      <c r="S57" s="173" t="s">
        <v>1172</v>
      </c>
      <c r="T57" s="151" t="b">
        <v>1</v>
      </c>
      <c r="U57" s="188" t="str">
        <f t="shared" si="0"/>
        <v>P - 56NOx</v>
      </c>
      <c r="V57" s="192">
        <f t="shared" si="1"/>
        <v>610</v>
      </c>
      <c r="X57" s="42"/>
      <c r="Y57" s="42"/>
      <c r="Z57" s="42"/>
      <c r="AA57" s="43"/>
      <c r="AB57" s="150"/>
    </row>
    <row r="58" spans="1:28" ht="24.2" x14ac:dyDescent="0.3">
      <c r="A58" s="51" t="str">
        <f>IF(ISNA(VLOOKUP(B58,Shortlist_xref!$A$5:$B$77,2,FALSE))=TRUE,"-",VLOOKUP(B58,Shortlist_xref!$A$5:$B$77,2,FALSE))</f>
        <v>EmissRed</v>
      </c>
      <c r="B58" s="3" t="s">
        <v>48</v>
      </c>
      <c r="C58" s="4" t="s">
        <v>45</v>
      </c>
      <c r="D58" s="5" t="s">
        <v>44</v>
      </c>
      <c r="E58" s="6" t="s">
        <v>12</v>
      </c>
      <c r="F58" s="7">
        <v>0.1</v>
      </c>
      <c r="G58" s="8">
        <v>0.9</v>
      </c>
      <c r="H58" s="9">
        <v>732</v>
      </c>
      <c r="I58" s="10">
        <v>6.7001375711072796E-4</v>
      </c>
      <c r="J58" s="11">
        <v>1770.3215667501513</v>
      </c>
      <c r="K58" s="12"/>
      <c r="L58" s="12" t="s">
        <v>380</v>
      </c>
      <c r="M58" s="193" t="s">
        <v>374</v>
      </c>
      <c r="N58" s="193" t="s">
        <v>381</v>
      </c>
      <c r="O58" s="173" t="s">
        <v>1171</v>
      </c>
      <c r="P58" s="173" t="s">
        <v>1171</v>
      </c>
      <c r="Q58" s="173" t="s">
        <v>1171</v>
      </c>
      <c r="R58" s="173" t="s">
        <v>1172</v>
      </c>
      <c r="S58" s="173" t="s">
        <v>1172</v>
      </c>
      <c r="T58" s="151" t="b">
        <v>1</v>
      </c>
      <c r="U58" s="188" t="str">
        <f t="shared" si="0"/>
        <v>P - 57NOx</v>
      </c>
      <c r="V58" s="192">
        <f t="shared" si="1"/>
        <v>732</v>
      </c>
      <c r="X58" s="42"/>
      <c r="Y58" s="42"/>
      <c r="Z58" s="42"/>
      <c r="AA58" s="43"/>
      <c r="AB58" s="150"/>
    </row>
    <row r="59" spans="1:28" ht="48.4" x14ac:dyDescent="0.3">
      <c r="A59" s="51" t="str">
        <f>IF(ISNA(VLOOKUP(B59,Shortlist_xref!$A$5:$B$77,2,FALSE))=TRUE,"-",VLOOKUP(B59,Shortlist_xref!$A$5:$B$77,2,FALSE))</f>
        <v>EmissRed</v>
      </c>
      <c r="B59" s="3" t="s">
        <v>49</v>
      </c>
      <c r="C59" s="4" t="s">
        <v>45</v>
      </c>
      <c r="D59" s="5" t="s">
        <v>21</v>
      </c>
      <c r="E59" s="6" t="s">
        <v>12</v>
      </c>
      <c r="F59" s="7">
        <v>0.1</v>
      </c>
      <c r="G59" s="8">
        <v>0.85</v>
      </c>
      <c r="H59" s="9">
        <v>3222</v>
      </c>
      <c r="I59" s="10">
        <v>2.3619648756063221E-3</v>
      </c>
      <c r="J59" s="11">
        <v>3470.5990072747491</v>
      </c>
      <c r="K59" s="12"/>
      <c r="L59" s="12" t="s">
        <v>396</v>
      </c>
      <c r="M59" s="193" t="s">
        <v>374</v>
      </c>
      <c r="N59" s="193" t="s">
        <v>375</v>
      </c>
      <c r="O59" s="173" t="s">
        <v>1171</v>
      </c>
      <c r="P59" s="173" t="s">
        <v>1171</v>
      </c>
      <c r="Q59" s="173" t="s">
        <v>1171</v>
      </c>
      <c r="R59" s="173" t="s">
        <v>1172</v>
      </c>
      <c r="S59" s="173" t="s">
        <v>1172</v>
      </c>
      <c r="T59" s="151" t="b">
        <v>1</v>
      </c>
      <c r="U59" s="188" t="str">
        <f t="shared" si="0"/>
        <v>P - 58NOx</v>
      </c>
      <c r="V59" s="192">
        <f t="shared" si="1"/>
        <v>3222</v>
      </c>
      <c r="X59" s="42"/>
      <c r="Y59" s="42"/>
      <c r="Z59" s="42"/>
      <c r="AA59" s="43"/>
      <c r="AB59" s="150"/>
    </row>
    <row r="60" spans="1:28" ht="48.4" x14ac:dyDescent="0.3">
      <c r="A60" s="51" t="str">
        <f>IF(ISNA(VLOOKUP(B60,Shortlist_xref!$A$5:$B$77,2,FALSE))=TRUE,"-",VLOOKUP(B60,Shortlist_xref!$A$5:$B$77,2,FALSE))</f>
        <v>-</v>
      </c>
      <c r="B60" s="3" t="s">
        <v>50</v>
      </c>
      <c r="C60" s="4" t="s">
        <v>469</v>
      </c>
      <c r="D60" s="5" t="s">
        <v>21</v>
      </c>
      <c r="E60" s="6" t="s">
        <v>12</v>
      </c>
      <c r="F60" s="7">
        <v>0.1</v>
      </c>
      <c r="G60" s="8">
        <v>0.8</v>
      </c>
      <c r="H60" s="9">
        <v>2649.5</v>
      </c>
      <c r="I60" s="10">
        <v>7.5464900719186974E-4</v>
      </c>
      <c r="J60" s="11">
        <v>66.003394047744706</v>
      </c>
      <c r="K60" s="12"/>
      <c r="L60" s="12" t="s">
        <v>396</v>
      </c>
      <c r="M60" s="193" t="s">
        <v>374</v>
      </c>
      <c r="N60" s="193" t="s">
        <v>375</v>
      </c>
      <c r="O60" s="173" t="s">
        <v>1171</v>
      </c>
      <c r="P60" s="173" t="s">
        <v>1171</v>
      </c>
      <c r="Q60" s="173" t="s">
        <v>1171</v>
      </c>
      <c r="R60" s="173" t="s">
        <v>1172</v>
      </c>
      <c r="S60" s="173" t="s">
        <v>1172</v>
      </c>
      <c r="T60" s="151" t="b">
        <v>1</v>
      </c>
      <c r="U60" s="188" t="str">
        <f t="shared" si="0"/>
        <v>P - 59NOx</v>
      </c>
      <c r="V60" s="192">
        <f t="shared" si="1"/>
        <v>2649.5</v>
      </c>
      <c r="X60" s="42"/>
      <c r="Y60" s="42"/>
      <c r="Z60" s="42"/>
      <c r="AA60" s="43"/>
      <c r="AB60" s="150"/>
    </row>
    <row r="61" spans="1:28" x14ac:dyDescent="0.3">
      <c r="A61" s="51" t="str">
        <f>IF(ISNA(VLOOKUP(B61,Shortlist_xref!$A$5:$B$77,2,FALSE))=TRUE,"-",VLOOKUP(B61,Shortlist_xref!$A$5:$B$77,2,FALSE))</f>
        <v>-</v>
      </c>
      <c r="B61" s="3" t="s">
        <v>470</v>
      </c>
      <c r="C61" s="4" t="s">
        <v>356</v>
      </c>
      <c r="D61" s="5" t="s">
        <v>26</v>
      </c>
      <c r="E61" s="6" t="s">
        <v>12</v>
      </c>
      <c r="F61" s="7">
        <v>0.1</v>
      </c>
      <c r="G61" s="8">
        <v>0.9</v>
      </c>
      <c r="H61" s="9">
        <v>1825</v>
      </c>
      <c r="I61" s="10">
        <v>0</v>
      </c>
      <c r="J61" s="11">
        <v>0</v>
      </c>
      <c r="K61" s="12"/>
      <c r="L61" s="12" t="s">
        <v>402</v>
      </c>
      <c r="M61" s="193" t="s">
        <v>403</v>
      </c>
      <c r="N61" s="193" t="s">
        <v>381</v>
      </c>
      <c r="O61" s="173" t="s">
        <v>1171</v>
      </c>
      <c r="P61" s="173" t="s">
        <v>1171</v>
      </c>
      <c r="Q61" s="173" t="s">
        <v>1171</v>
      </c>
      <c r="R61" s="173" t="s">
        <v>1172</v>
      </c>
      <c r="S61" s="173" t="s">
        <v>1172</v>
      </c>
      <c r="T61" s="151" t="b">
        <v>1</v>
      </c>
      <c r="U61" s="188" t="str">
        <f t="shared" si="0"/>
        <v>P - 60NOx</v>
      </c>
      <c r="V61" s="192">
        <f t="shared" si="1"/>
        <v>1825</v>
      </c>
      <c r="X61" s="42"/>
      <c r="Y61" s="42"/>
      <c r="Z61" s="42"/>
      <c r="AA61" s="43"/>
      <c r="AB61" s="150"/>
    </row>
    <row r="62" spans="1:28" ht="36.299999999999997" x14ac:dyDescent="0.3">
      <c r="A62" s="51" t="str">
        <f>IF(ISNA(VLOOKUP(B62,Shortlist_xref!$A$5:$B$77,2,FALSE))=TRUE,"-",VLOOKUP(B62,Shortlist_xref!$A$5:$B$77,2,FALSE))</f>
        <v>EmissRed</v>
      </c>
      <c r="B62" s="3" t="s">
        <v>355</v>
      </c>
      <c r="C62" s="4" t="s">
        <v>356</v>
      </c>
      <c r="D62" s="5" t="s">
        <v>357</v>
      </c>
      <c r="E62" s="6" t="s">
        <v>12</v>
      </c>
      <c r="F62" s="7">
        <v>0.01</v>
      </c>
      <c r="G62" s="8">
        <v>1</v>
      </c>
      <c r="H62" s="9">
        <v>53000</v>
      </c>
      <c r="I62" s="10">
        <v>2.1120524581103076E-3</v>
      </c>
      <c r="J62" s="11">
        <v>4078.8044186769512</v>
      </c>
      <c r="K62" s="12" t="s">
        <v>471</v>
      </c>
      <c r="L62" s="12" t="s">
        <v>424</v>
      </c>
      <c r="M62" s="193" t="s">
        <v>425</v>
      </c>
      <c r="N62" s="194" t="s">
        <v>381</v>
      </c>
      <c r="O62" s="173" t="s">
        <v>1172</v>
      </c>
      <c r="P62" s="173" t="s">
        <v>1172</v>
      </c>
      <c r="Q62" s="173" t="s">
        <v>1171</v>
      </c>
      <c r="R62" s="173" t="s">
        <v>1172</v>
      </c>
      <c r="S62" s="173" t="s">
        <v>1172</v>
      </c>
      <c r="T62" s="151" t="b">
        <v>1</v>
      </c>
      <c r="U62" s="188" t="str">
        <f t="shared" si="0"/>
        <v>P - 61NOx</v>
      </c>
      <c r="V62" s="192">
        <f t="shared" si="1"/>
        <v>53000</v>
      </c>
      <c r="X62" s="42"/>
      <c r="Y62" s="42"/>
      <c r="Z62" s="42"/>
      <c r="AA62" s="43"/>
      <c r="AB62" s="150"/>
    </row>
    <row r="63" spans="1:28" ht="24.2" x14ac:dyDescent="0.3">
      <c r="A63" s="51" t="str">
        <f>IF(ISNA(VLOOKUP(B63,Shortlist_xref!$A$5:$B$77,2,FALSE))=TRUE,"-",VLOOKUP(B63,Shortlist_xref!$A$5:$B$77,2,FALSE))</f>
        <v>-</v>
      </c>
      <c r="B63" s="3" t="s">
        <v>472</v>
      </c>
      <c r="C63" s="4" t="s">
        <v>473</v>
      </c>
      <c r="D63" s="5" t="s">
        <v>474</v>
      </c>
      <c r="E63" s="6" t="s">
        <v>12</v>
      </c>
      <c r="F63" s="7">
        <v>0.1</v>
      </c>
      <c r="G63" s="8">
        <v>0.75</v>
      </c>
      <c r="H63" s="9">
        <v>2840.5</v>
      </c>
      <c r="I63" s="10">
        <v>6.1677685685518902E-5</v>
      </c>
      <c r="J63" s="11">
        <v>202.75272240716095</v>
      </c>
      <c r="K63" s="12"/>
      <c r="L63" s="12" t="s">
        <v>380</v>
      </c>
      <c r="M63" s="193" t="s">
        <v>374</v>
      </c>
      <c r="N63" s="193" t="s">
        <v>381</v>
      </c>
      <c r="O63" s="173" t="s">
        <v>1171</v>
      </c>
      <c r="P63" s="173" t="s">
        <v>1171</v>
      </c>
      <c r="Q63" s="173" t="s">
        <v>1171</v>
      </c>
      <c r="R63" s="173" t="s">
        <v>1172</v>
      </c>
      <c r="S63" s="173" t="s">
        <v>1172</v>
      </c>
      <c r="T63" s="151" t="b">
        <v>1</v>
      </c>
      <c r="U63" s="188" t="str">
        <f t="shared" si="0"/>
        <v>P - 62NOx</v>
      </c>
      <c r="V63" s="192">
        <f t="shared" si="1"/>
        <v>2840.5</v>
      </c>
      <c r="X63" s="42"/>
      <c r="Y63" s="42"/>
      <c r="Z63" s="42"/>
      <c r="AA63" s="43"/>
      <c r="AB63" s="150"/>
    </row>
    <row r="64" spans="1:28" ht="24.2" x14ac:dyDescent="0.3">
      <c r="A64" s="51" t="str">
        <f>IF(ISNA(VLOOKUP(B64,Shortlist_xref!$A$5:$B$77,2,FALSE))=TRUE,"-",VLOOKUP(B64,Shortlist_xref!$A$5:$B$77,2,FALSE))</f>
        <v>-</v>
      </c>
      <c r="B64" s="3" t="s">
        <v>475</v>
      </c>
      <c r="C64" s="4" t="s">
        <v>476</v>
      </c>
      <c r="D64" s="5" t="s">
        <v>434</v>
      </c>
      <c r="E64" s="6" t="s">
        <v>12</v>
      </c>
      <c r="F64" s="7">
        <v>0.1</v>
      </c>
      <c r="G64" s="8">
        <v>0.5</v>
      </c>
      <c r="H64" s="9">
        <v>915</v>
      </c>
      <c r="I64" s="10">
        <v>6.0463432156703943E-4</v>
      </c>
      <c r="J64" s="11">
        <v>531.15957225264378</v>
      </c>
      <c r="K64" s="12"/>
      <c r="L64" s="12" t="s">
        <v>380</v>
      </c>
      <c r="M64" s="193" t="s">
        <v>374</v>
      </c>
      <c r="N64" s="193" t="s">
        <v>381</v>
      </c>
      <c r="O64" s="173" t="s">
        <v>1171</v>
      </c>
      <c r="P64" s="173" t="s">
        <v>1171</v>
      </c>
      <c r="Q64" s="173" t="s">
        <v>1171</v>
      </c>
      <c r="R64" s="173" t="s">
        <v>1172</v>
      </c>
      <c r="S64" s="173" t="s">
        <v>1172</v>
      </c>
      <c r="T64" s="151" t="b">
        <v>1</v>
      </c>
      <c r="U64" s="188" t="str">
        <f t="shared" si="0"/>
        <v>P - 63NOx</v>
      </c>
      <c r="V64" s="192">
        <f t="shared" si="1"/>
        <v>915</v>
      </c>
      <c r="X64" s="42"/>
      <c r="Y64" s="42"/>
      <c r="Z64" s="42"/>
      <c r="AA64" s="43"/>
      <c r="AB64" s="150"/>
    </row>
    <row r="65" spans="1:28" ht="24.2" x14ac:dyDescent="0.3">
      <c r="A65" s="51" t="str">
        <f>IF(ISNA(VLOOKUP(B65,Shortlist_xref!$A$5:$B$77,2,FALSE))=TRUE,"-",VLOOKUP(B65,Shortlist_xref!$A$5:$B$77,2,FALSE))</f>
        <v>-</v>
      </c>
      <c r="B65" s="3" t="s">
        <v>477</v>
      </c>
      <c r="C65" s="4" t="s">
        <v>478</v>
      </c>
      <c r="D65" s="5" t="s">
        <v>441</v>
      </c>
      <c r="E65" s="6" t="s">
        <v>12</v>
      </c>
      <c r="F65" s="7">
        <v>0.1</v>
      </c>
      <c r="G65" s="8">
        <v>0.9</v>
      </c>
      <c r="H65" s="9">
        <v>10471</v>
      </c>
      <c r="I65" s="10">
        <v>5.8132578704896149E-5</v>
      </c>
      <c r="J65" s="11">
        <v>62.603056101732015</v>
      </c>
      <c r="K65" s="12"/>
      <c r="L65" s="12" t="s">
        <v>380</v>
      </c>
      <c r="M65" s="193" t="s">
        <v>374</v>
      </c>
      <c r="N65" s="193" t="s">
        <v>381</v>
      </c>
      <c r="O65" s="173" t="s">
        <v>1171</v>
      </c>
      <c r="P65" s="173" t="s">
        <v>1171</v>
      </c>
      <c r="Q65" s="173" t="s">
        <v>1171</v>
      </c>
      <c r="R65" s="173" t="s">
        <v>1172</v>
      </c>
      <c r="S65" s="173" t="s">
        <v>1172</v>
      </c>
      <c r="T65" s="151" t="b">
        <v>1</v>
      </c>
      <c r="U65" s="188" t="str">
        <f t="shared" si="0"/>
        <v>P - 64NOx</v>
      </c>
      <c r="V65" s="192">
        <f t="shared" si="1"/>
        <v>10471</v>
      </c>
      <c r="X65" s="42"/>
      <c r="Y65" s="42"/>
      <c r="Z65" s="42"/>
      <c r="AA65" s="43"/>
      <c r="AB65" s="150"/>
    </row>
    <row r="66" spans="1:28" ht="48.4" x14ac:dyDescent="0.3">
      <c r="A66" s="51" t="str">
        <f>IF(ISNA(VLOOKUP(B66,Shortlist_xref!$A$5:$B$77,2,FALSE))=TRUE,"-",VLOOKUP(B66,Shortlist_xref!$A$5:$B$77,2,FALSE))</f>
        <v>-</v>
      </c>
      <c r="B66" s="3" t="s">
        <v>479</v>
      </c>
      <c r="C66" s="4" t="s">
        <v>478</v>
      </c>
      <c r="D66" s="5" t="s">
        <v>21</v>
      </c>
      <c r="E66" s="6" t="s">
        <v>12</v>
      </c>
      <c r="F66" s="7">
        <v>0.1</v>
      </c>
      <c r="G66" s="8">
        <v>0.77500000000000002</v>
      </c>
      <c r="H66" s="9">
        <v>3126.5</v>
      </c>
      <c r="I66" s="10">
        <v>1.0541230814467437E-4</v>
      </c>
      <c r="J66" s="11">
        <v>205.66139354891635</v>
      </c>
      <c r="K66" s="12"/>
      <c r="L66" s="12" t="s">
        <v>396</v>
      </c>
      <c r="M66" s="193" t="s">
        <v>374</v>
      </c>
      <c r="N66" s="193" t="s">
        <v>375</v>
      </c>
      <c r="O66" s="173" t="s">
        <v>1171</v>
      </c>
      <c r="P66" s="173" t="s">
        <v>1171</v>
      </c>
      <c r="Q66" s="173" t="s">
        <v>1171</v>
      </c>
      <c r="R66" s="173" t="s">
        <v>1172</v>
      </c>
      <c r="S66" s="173" t="s">
        <v>1172</v>
      </c>
      <c r="T66" s="151" t="b">
        <v>1</v>
      </c>
      <c r="U66" s="188" t="str">
        <f t="shared" si="0"/>
        <v>P - 65NOx</v>
      </c>
      <c r="V66" s="192">
        <f t="shared" si="1"/>
        <v>3126.5</v>
      </c>
      <c r="X66" s="42"/>
      <c r="Y66" s="42"/>
      <c r="Z66" s="42"/>
      <c r="AA66" s="43"/>
      <c r="AB66" s="150"/>
    </row>
    <row r="67" spans="1:28" ht="24.2" x14ac:dyDescent="0.3">
      <c r="A67" s="51" t="str">
        <f>IF(ISNA(VLOOKUP(B67,Shortlist_xref!$A$5:$B$77,2,FALSE))=TRUE,"-",VLOOKUP(B67,Shortlist_xref!$A$5:$B$77,2,FALSE))</f>
        <v>-</v>
      </c>
      <c r="B67" s="3" t="s">
        <v>480</v>
      </c>
      <c r="C67" s="4" t="s">
        <v>481</v>
      </c>
      <c r="D67" s="5" t="s">
        <v>18</v>
      </c>
      <c r="E67" s="6" t="s">
        <v>12</v>
      </c>
      <c r="F67" s="7">
        <v>0.1</v>
      </c>
      <c r="G67" s="8">
        <v>0.45</v>
      </c>
      <c r="H67" s="9">
        <v>3563</v>
      </c>
      <c r="I67" s="10">
        <v>1.8047745205421851E-7</v>
      </c>
      <c r="J67" s="11">
        <v>1.3351272313958971</v>
      </c>
      <c r="K67" s="12"/>
      <c r="L67" s="12" t="s">
        <v>380</v>
      </c>
      <c r="M67" s="193" t="s">
        <v>374</v>
      </c>
      <c r="N67" s="193" t="s">
        <v>381</v>
      </c>
      <c r="O67" s="173" t="s">
        <v>1171</v>
      </c>
      <c r="P67" s="173" t="s">
        <v>1171</v>
      </c>
      <c r="Q67" s="173" t="s">
        <v>1171</v>
      </c>
      <c r="R67" s="173" t="s">
        <v>1172</v>
      </c>
      <c r="S67" s="173" t="s">
        <v>1172</v>
      </c>
      <c r="T67" s="151" t="b">
        <v>1</v>
      </c>
      <c r="U67" s="188" t="str">
        <f t="shared" ref="U67:U120" si="2">B67&amp;E67</f>
        <v>P - 66NOx</v>
      </c>
      <c r="V67" s="192">
        <f t="shared" ref="V67:V120" si="3">H67</f>
        <v>3563</v>
      </c>
      <c r="X67" s="42"/>
      <c r="Y67" s="42"/>
      <c r="Z67" s="42"/>
      <c r="AA67" s="43"/>
      <c r="AB67" s="150"/>
    </row>
    <row r="68" spans="1:28" ht="24.2" x14ac:dyDescent="0.3">
      <c r="A68" s="51" t="str">
        <f>IF(ISNA(VLOOKUP(B68,Shortlist_xref!$A$5:$B$77,2,FALSE))=TRUE,"-",VLOOKUP(B68,Shortlist_xref!$A$5:$B$77,2,FALSE))</f>
        <v>-</v>
      </c>
      <c r="B68" s="3" t="s">
        <v>482</v>
      </c>
      <c r="C68" s="4" t="s">
        <v>481</v>
      </c>
      <c r="D68" s="5" t="s">
        <v>434</v>
      </c>
      <c r="E68" s="6" t="s">
        <v>12</v>
      </c>
      <c r="F68" s="7">
        <v>0.1</v>
      </c>
      <c r="G68" s="8">
        <v>0.48</v>
      </c>
      <c r="H68" s="9">
        <v>4758.5</v>
      </c>
      <c r="I68" s="10">
        <v>4.0626142828452074E-6</v>
      </c>
      <c r="J68" s="11">
        <v>0.66928163519999995</v>
      </c>
      <c r="K68" s="12"/>
      <c r="L68" s="12" t="s">
        <v>380</v>
      </c>
      <c r="M68" s="193" t="s">
        <v>374</v>
      </c>
      <c r="N68" s="193" t="s">
        <v>381</v>
      </c>
      <c r="O68" s="173" t="s">
        <v>1171</v>
      </c>
      <c r="P68" s="173" t="s">
        <v>1171</v>
      </c>
      <c r="Q68" s="173" t="s">
        <v>1171</v>
      </c>
      <c r="R68" s="173" t="s">
        <v>1172</v>
      </c>
      <c r="S68" s="173" t="s">
        <v>1172</v>
      </c>
      <c r="T68" s="151" t="b">
        <v>1</v>
      </c>
      <c r="U68" s="188" t="str">
        <f t="shared" si="2"/>
        <v>P - 67NOx</v>
      </c>
      <c r="V68" s="192">
        <f t="shared" si="3"/>
        <v>4758.5</v>
      </c>
      <c r="X68" s="42"/>
      <c r="Y68" s="42"/>
      <c r="Z68" s="42"/>
      <c r="AA68" s="43"/>
      <c r="AB68" s="150"/>
    </row>
    <row r="69" spans="1:28" ht="24.2" x14ac:dyDescent="0.3">
      <c r="A69" s="51" t="str">
        <f>IF(ISNA(VLOOKUP(B69,Shortlist_xref!$A$5:$B$77,2,FALSE))=TRUE,"-",VLOOKUP(B69,Shortlist_xref!$A$5:$B$77,2,FALSE))</f>
        <v>-</v>
      </c>
      <c r="B69" s="3" t="s">
        <v>483</v>
      </c>
      <c r="C69" s="4" t="s">
        <v>481</v>
      </c>
      <c r="D69" s="5" t="s">
        <v>474</v>
      </c>
      <c r="E69" s="6" t="s">
        <v>12</v>
      </c>
      <c r="F69" s="7">
        <v>0.1</v>
      </c>
      <c r="G69" s="8">
        <v>0.78</v>
      </c>
      <c r="H69" s="9">
        <v>4413.5</v>
      </c>
      <c r="I69" s="10">
        <v>1.8047745205421851E-7</v>
      </c>
      <c r="J69" s="11">
        <v>2.3142205344195546</v>
      </c>
      <c r="K69" s="12"/>
      <c r="L69" s="12" t="s">
        <v>380</v>
      </c>
      <c r="M69" s="193" t="s">
        <v>374</v>
      </c>
      <c r="N69" s="193" t="s">
        <v>381</v>
      </c>
      <c r="O69" s="173" t="s">
        <v>1171</v>
      </c>
      <c r="P69" s="173" t="s">
        <v>1171</v>
      </c>
      <c r="Q69" s="173" t="s">
        <v>1171</v>
      </c>
      <c r="R69" s="173" t="s">
        <v>1172</v>
      </c>
      <c r="S69" s="173" t="s">
        <v>1172</v>
      </c>
      <c r="T69" s="151" t="b">
        <v>1</v>
      </c>
      <c r="U69" s="188" t="str">
        <f t="shared" si="2"/>
        <v>P - 68NOx</v>
      </c>
      <c r="V69" s="192">
        <f t="shared" si="3"/>
        <v>4413.5</v>
      </c>
      <c r="X69" s="42"/>
      <c r="Y69" s="42"/>
      <c r="Z69" s="42"/>
      <c r="AA69" s="43"/>
      <c r="AB69" s="150"/>
    </row>
    <row r="70" spans="1:28" ht="48.4" x14ac:dyDescent="0.3">
      <c r="A70" s="51" t="str">
        <f>IF(ISNA(VLOOKUP(B70,Shortlist_xref!$A$5:$B$77,2,FALSE))=TRUE,"-",VLOOKUP(B70,Shortlist_xref!$A$5:$B$77,2,FALSE))</f>
        <v>-</v>
      </c>
      <c r="B70" s="3" t="s">
        <v>484</v>
      </c>
      <c r="C70" s="4" t="s">
        <v>481</v>
      </c>
      <c r="D70" s="5" t="s">
        <v>11</v>
      </c>
      <c r="E70" s="6" t="s">
        <v>12</v>
      </c>
      <c r="F70" s="7">
        <v>0.1</v>
      </c>
      <c r="G70" s="8">
        <v>0.6</v>
      </c>
      <c r="H70" s="9">
        <v>3932.5</v>
      </c>
      <c r="I70" s="10">
        <v>1.8047745205421851E-7</v>
      </c>
      <c r="J70" s="11">
        <v>1.7801696418611959</v>
      </c>
      <c r="K70" s="12"/>
      <c r="L70" s="12" t="s">
        <v>373</v>
      </c>
      <c r="M70" s="193" t="s">
        <v>374</v>
      </c>
      <c r="N70" s="193" t="s">
        <v>375</v>
      </c>
      <c r="O70" s="173" t="s">
        <v>1171</v>
      </c>
      <c r="P70" s="173" t="s">
        <v>1171</v>
      </c>
      <c r="Q70" s="173" t="s">
        <v>1171</v>
      </c>
      <c r="R70" s="173" t="s">
        <v>1171</v>
      </c>
      <c r="S70" s="173" t="s">
        <v>1171</v>
      </c>
      <c r="T70" s="151" t="b">
        <v>1</v>
      </c>
      <c r="U70" s="188" t="str">
        <f t="shared" si="2"/>
        <v>P - 69NOx</v>
      </c>
      <c r="V70" s="192">
        <f t="shared" si="3"/>
        <v>3932.5</v>
      </c>
      <c r="X70" s="42"/>
      <c r="Y70" s="42"/>
      <c r="Z70" s="42"/>
      <c r="AA70" s="43"/>
      <c r="AB70" s="150"/>
    </row>
    <row r="71" spans="1:28" ht="24.2" x14ac:dyDescent="0.3">
      <c r="A71" s="51" t="str">
        <f>IF(ISNA(VLOOKUP(B71,Shortlist_xref!$A$5:$B$77,2,FALSE))=TRUE,"-",VLOOKUP(B71,Shortlist_xref!$A$5:$B$77,2,FALSE))</f>
        <v>-</v>
      </c>
      <c r="B71" s="3" t="s">
        <v>485</v>
      </c>
      <c r="C71" s="4" t="s">
        <v>481</v>
      </c>
      <c r="D71" s="5" t="s">
        <v>486</v>
      </c>
      <c r="E71" s="6" t="s">
        <v>12</v>
      </c>
      <c r="F71" s="7">
        <v>0.1</v>
      </c>
      <c r="G71" s="8">
        <v>0.56999999999999995</v>
      </c>
      <c r="H71" s="9">
        <v>1954.6666666666667</v>
      </c>
      <c r="I71" s="10">
        <v>1.8047745205421851E-7</v>
      </c>
      <c r="J71" s="11">
        <v>1.691161159768136</v>
      </c>
      <c r="K71" s="12"/>
      <c r="L71" s="12" t="s">
        <v>380</v>
      </c>
      <c r="M71" s="193" t="s">
        <v>374</v>
      </c>
      <c r="N71" s="193" t="s">
        <v>381</v>
      </c>
      <c r="O71" s="173" t="s">
        <v>1171</v>
      </c>
      <c r="P71" s="173" t="s">
        <v>1171</v>
      </c>
      <c r="Q71" s="173" t="s">
        <v>1171</v>
      </c>
      <c r="R71" s="173" t="s">
        <v>1171</v>
      </c>
      <c r="S71" s="173" t="s">
        <v>1171</v>
      </c>
      <c r="T71" s="151" t="b">
        <v>1</v>
      </c>
      <c r="U71" s="188" t="str">
        <f t="shared" si="2"/>
        <v>P - 70NOx</v>
      </c>
      <c r="V71" s="192">
        <f t="shared" si="3"/>
        <v>1954.6666666666667</v>
      </c>
      <c r="X71" s="42"/>
      <c r="Y71" s="42"/>
      <c r="Z71" s="42"/>
      <c r="AA71" s="43"/>
      <c r="AB71" s="150"/>
    </row>
    <row r="72" spans="1:28" ht="24.2" x14ac:dyDescent="0.3">
      <c r="A72" s="51" t="str">
        <f>IF(ISNA(VLOOKUP(B72,Shortlist_xref!$A$5:$B$77,2,FALSE))=TRUE,"-",VLOOKUP(B72,Shortlist_xref!$A$5:$B$77,2,FALSE))</f>
        <v>-</v>
      </c>
      <c r="B72" s="3" t="s">
        <v>487</v>
      </c>
      <c r="C72" s="4" t="s">
        <v>488</v>
      </c>
      <c r="D72" s="5" t="s">
        <v>18</v>
      </c>
      <c r="E72" s="6" t="s">
        <v>12</v>
      </c>
      <c r="F72" s="7">
        <v>0.1</v>
      </c>
      <c r="G72" s="8">
        <v>0.5</v>
      </c>
      <c r="H72" s="9">
        <v>6003</v>
      </c>
      <c r="I72" s="10">
        <v>3.040259563562717E-5</v>
      </c>
      <c r="J72" s="11">
        <v>19.130300712044431</v>
      </c>
      <c r="K72" s="12"/>
      <c r="L72" s="12" t="s">
        <v>380</v>
      </c>
      <c r="M72" s="193" t="s">
        <v>374</v>
      </c>
      <c r="N72" s="193" t="s">
        <v>381</v>
      </c>
      <c r="O72" s="173" t="s">
        <v>1171</v>
      </c>
      <c r="P72" s="173" t="s">
        <v>1171</v>
      </c>
      <c r="Q72" s="173" t="s">
        <v>1171</v>
      </c>
      <c r="R72" s="173" t="s">
        <v>1172</v>
      </c>
      <c r="S72" s="173" t="s">
        <v>1172</v>
      </c>
      <c r="T72" s="151" t="b">
        <v>1</v>
      </c>
      <c r="U72" s="188" t="str">
        <f t="shared" si="2"/>
        <v>P - 71NOx</v>
      </c>
      <c r="V72" s="192">
        <f t="shared" si="3"/>
        <v>6003</v>
      </c>
      <c r="X72" s="42"/>
      <c r="Y72" s="42"/>
      <c r="Z72" s="42"/>
      <c r="AA72" s="43"/>
      <c r="AB72" s="150"/>
    </row>
    <row r="73" spans="1:28" ht="24.2" x14ac:dyDescent="0.3">
      <c r="A73" s="51" t="str">
        <f>IF(ISNA(VLOOKUP(B73,Shortlist_xref!$A$5:$B$77,2,FALSE))=TRUE,"-",VLOOKUP(B73,Shortlist_xref!$A$5:$B$77,2,FALSE))</f>
        <v>-</v>
      </c>
      <c r="B73" s="3" t="s">
        <v>489</v>
      </c>
      <c r="C73" s="4" t="s">
        <v>488</v>
      </c>
      <c r="D73" s="5" t="s">
        <v>434</v>
      </c>
      <c r="E73" s="6" t="s">
        <v>12</v>
      </c>
      <c r="F73" s="7">
        <v>0.1</v>
      </c>
      <c r="G73" s="8">
        <v>0.48</v>
      </c>
      <c r="H73" s="9">
        <v>5938.5</v>
      </c>
      <c r="I73" s="10">
        <v>1.1493659811986427E-6</v>
      </c>
      <c r="J73" s="11">
        <v>4.1866085949830021</v>
      </c>
      <c r="K73" s="12"/>
      <c r="L73" s="12" t="s">
        <v>380</v>
      </c>
      <c r="M73" s="193" t="s">
        <v>374</v>
      </c>
      <c r="N73" s="193" t="s">
        <v>381</v>
      </c>
      <c r="O73" s="173" t="s">
        <v>1171</v>
      </c>
      <c r="P73" s="173" t="s">
        <v>1171</v>
      </c>
      <c r="Q73" s="173" t="s">
        <v>1171</v>
      </c>
      <c r="R73" s="173" t="s">
        <v>1172</v>
      </c>
      <c r="S73" s="173" t="s">
        <v>1172</v>
      </c>
      <c r="T73" s="151" t="b">
        <v>1</v>
      </c>
      <c r="U73" s="188" t="str">
        <f t="shared" si="2"/>
        <v>P - 72NOx</v>
      </c>
      <c r="V73" s="192">
        <f t="shared" si="3"/>
        <v>5938.5</v>
      </c>
      <c r="X73" s="42"/>
      <c r="Y73" s="42"/>
      <c r="Z73" s="42"/>
      <c r="AA73" s="43"/>
      <c r="AB73" s="150"/>
    </row>
    <row r="74" spans="1:28" ht="24.2" x14ac:dyDescent="0.3">
      <c r="A74" s="51" t="str">
        <f>IF(ISNA(VLOOKUP(B74,Shortlist_xref!$A$5:$B$77,2,FALSE))=TRUE,"-",VLOOKUP(B74,Shortlist_xref!$A$5:$B$77,2,FALSE))</f>
        <v>-</v>
      </c>
      <c r="B74" s="3" t="s">
        <v>490</v>
      </c>
      <c r="C74" s="4" t="s">
        <v>488</v>
      </c>
      <c r="D74" s="5" t="s">
        <v>441</v>
      </c>
      <c r="E74" s="6" t="s">
        <v>12</v>
      </c>
      <c r="F74" s="7">
        <v>0.1</v>
      </c>
      <c r="G74" s="8">
        <v>0.92</v>
      </c>
      <c r="H74" s="9">
        <v>16547</v>
      </c>
      <c r="I74" s="10">
        <v>0</v>
      </c>
      <c r="J74" s="11">
        <v>0</v>
      </c>
      <c r="K74" s="12"/>
      <c r="L74" s="12" t="s">
        <v>380</v>
      </c>
      <c r="M74" s="193" t="s">
        <v>374</v>
      </c>
      <c r="N74" s="193" t="s">
        <v>381</v>
      </c>
      <c r="O74" s="173" t="s">
        <v>1171</v>
      </c>
      <c r="P74" s="173" t="s">
        <v>1171</v>
      </c>
      <c r="Q74" s="173" t="s">
        <v>1171</v>
      </c>
      <c r="R74" s="173" t="s">
        <v>1172</v>
      </c>
      <c r="S74" s="173" t="s">
        <v>1172</v>
      </c>
      <c r="T74" s="151" t="b">
        <v>1</v>
      </c>
      <c r="U74" s="188" t="str">
        <f t="shared" si="2"/>
        <v>P - 73NOx</v>
      </c>
      <c r="V74" s="192">
        <f t="shared" si="3"/>
        <v>16547</v>
      </c>
      <c r="X74" s="42"/>
      <c r="Y74" s="42"/>
      <c r="Z74" s="42"/>
      <c r="AA74" s="43"/>
      <c r="AB74" s="150"/>
    </row>
    <row r="75" spans="1:28" ht="24.2" x14ac:dyDescent="0.3">
      <c r="A75" s="51" t="str">
        <f>IF(ISNA(VLOOKUP(B75,Shortlist_xref!$A$5:$B$77,2,FALSE))=TRUE,"-",VLOOKUP(B75,Shortlist_xref!$A$5:$B$77,2,FALSE))</f>
        <v>-</v>
      </c>
      <c r="B75" s="3" t="s">
        <v>491</v>
      </c>
      <c r="C75" s="4" t="s">
        <v>492</v>
      </c>
      <c r="D75" s="5" t="s">
        <v>441</v>
      </c>
      <c r="E75" s="6" t="s">
        <v>12</v>
      </c>
      <c r="F75" s="7">
        <v>0.1</v>
      </c>
      <c r="G75" s="8">
        <v>0.8</v>
      </c>
      <c r="H75" s="9">
        <v>14920</v>
      </c>
      <c r="I75" s="10">
        <v>1.1946449891068179E-4</v>
      </c>
      <c r="J75" s="11">
        <v>270.74607431531734</v>
      </c>
      <c r="K75" s="12"/>
      <c r="L75" s="12" t="s">
        <v>380</v>
      </c>
      <c r="M75" s="193" t="s">
        <v>374</v>
      </c>
      <c r="N75" s="193" t="s">
        <v>381</v>
      </c>
      <c r="O75" s="173" t="s">
        <v>1171</v>
      </c>
      <c r="P75" s="173" t="s">
        <v>1171</v>
      </c>
      <c r="Q75" s="173" t="s">
        <v>1171</v>
      </c>
      <c r="R75" s="173" t="s">
        <v>1172</v>
      </c>
      <c r="S75" s="173" t="s">
        <v>1172</v>
      </c>
      <c r="T75" s="151" t="b">
        <v>1</v>
      </c>
      <c r="U75" s="188" t="str">
        <f t="shared" si="2"/>
        <v>P - 74NOx</v>
      </c>
      <c r="V75" s="192">
        <f t="shared" si="3"/>
        <v>14920</v>
      </c>
      <c r="X75" s="42"/>
      <c r="Y75" s="42"/>
      <c r="Z75" s="42"/>
      <c r="AA75" s="43"/>
      <c r="AB75" s="150"/>
    </row>
    <row r="76" spans="1:28" ht="24.2" x14ac:dyDescent="0.3">
      <c r="A76" s="51" t="str">
        <f>IF(ISNA(VLOOKUP(B76,Shortlist_xref!$A$5:$B$77,2,FALSE))=TRUE,"-",VLOOKUP(B76,Shortlist_xref!$A$5:$B$77,2,FALSE))</f>
        <v>-</v>
      </c>
      <c r="B76" s="3" t="s">
        <v>493</v>
      </c>
      <c r="C76" s="4" t="s">
        <v>494</v>
      </c>
      <c r="D76" s="5" t="s">
        <v>18</v>
      </c>
      <c r="E76" s="6" t="s">
        <v>12</v>
      </c>
      <c r="F76" s="7">
        <v>0.1</v>
      </c>
      <c r="G76" s="8">
        <v>0.5</v>
      </c>
      <c r="H76" s="9">
        <v>3210</v>
      </c>
      <c r="I76" s="10">
        <v>3.1250802630924045E-4</v>
      </c>
      <c r="J76" s="11">
        <v>247.32471203010775</v>
      </c>
      <c r="K76" s="12"/>
      <c r="L76" s="12" t="s">
        <v>380</v>
      </c>
      <c r="M76" s="193" t="s">
        <v>374</v>
      </c>
      <c r="N76" s="193" t="s">
        <v>381</v>
      </c>
      <c r="O76" s="173" t="s">
        <v>1171</v>
      </c>
      <c r="P76" s="173" t="s">
        <v>1171</v>
      </c>
      <c r="Q76" s="173" t="s">
        <v>1171</v>
      </c>
      <c r="R76" s="173" t="s">
        <v>1172</v>
      </c>
      <c r="S76" s="173" t="s">
        <v>1172</v>
      </c>
      <c r="T76" s="151" t="b">
        <v>1</v>
      </c>
      <c r="U76" s="188" t="str">
        <f t="shared" si="2"/>
        <v>P - 75NOx</v>
      </c>
      <c r="V76" s="192">
        <f t="shared" si="3"/>
        <v>3210</v>
      </c>
      <c r="X76" s="42"/>
      <c r="Y76" s="42"/>
      <c r="Z76" s="42"/>
      <c r="AA76" s="43"/>
      <c r="AB76" s="150"/>
    </row>
    <row r="77" spans="1:28" ht="24.2" x14ac:dyDescent="0.3">
      <c r="A77" s="51" t="str">
        <f>IF(ISNA(VLOOKUP(B77,Shortlist_xref!$A$5:$B$77,2,FALSE))=TRUE,"-",VLOOKUP(B77,Shortlist_xref!$A$5:$B$77,2,FALSE))</f>
        <v>-</v>
      </c>
      <c r="B77" s="3" t="s">
        <v>495</v>
      </c>
      <c r="C77" s="4" t="s">
        <v>494</v>
      </c>
      <c r="D77" s="5" t="s">
        <v>441</v>
      </c>
      <c r="E77" s="6" t="s">
        <v>12</v>
      </c>
      <c r="F77" s="7">
        <v>0.1</v>
      </c>
      <c r="G77" s="8">
        <v>0.9</v>
      </c>
      <c r="H77" s="9">
        <v>14920</v>
      </c>
      <c r="I77" s="10">
        <v>3.1250802630924045E-4</v>
      </c>
      <c r="J77" s="11">
        <v>445.18448165419397</v>
      </c>
      <c r="K77" s="12"/>
      <c r="L77" s="12" t="s">
        <v>380</v>
      </c>
      <c r="M77" s="193" t="s">
        <v>374</v>
      </c>
      <c r="N77" s="193" t="s">
        <v>381</v>
      </c>
      <c r="O77" s="173" t="s">
        <v>1171</v>
      </c>
      <c r="P77" s="173" t="s">
        <v>1171</v>
      </c>
      <c r="Q77" s="173" t="s">
        <v>1171</v>
      </c>
      <c r="R77" s="173" t="s">
        <v>1171</v>
      </c>
      <c r="S77" s="173" t="s">
        <v>1171</v>
      </c>
      <c r="T77" s="151" t="b">
        <v>1</v>
      </c>
      <c r="U77" s="188" t="str">
        <f t="shared" si="2"/>
        <v>P - 76NOx</v>
      </c>
      <c r="V77" s="192">
        <f t="shared" si="3"/>
        <v>14920</v>
      </c>
      <c r="X77" s="42"/>
      <c r="Y77" s="42"/>
      <c r="Z77" s="42"/>
      <c r="AA77" s="43"/>
      <c r="AB77" s="150"/>
    </row>
    <row r="78" spans="1:28" ht="24.2" x14ac:dyDescent="0.3">
      <c r="A78" s="51" t="str">
        <f>IF(ISNA(VLOOKUP(B78,Shortlist_xref!$A$5:$B$77,2,FALSE))=TRUE,"-",VLOOKUP(B78,Shortlist_xref!$A$5:$B$77,2,FALSE))</f>
        <v>-</v>
      </c>
      <c r="B78" s="3" t="s">
        <v>496</v>
      </c>
      <c r="C78" s="4" t="s">
        <v>494</v>
      </c>
      <c r="D78" s="5" t="s">
        <v>474</v>
      </c>
      <c r="E78" s="6" t="s">
        <v>12</v>
      </c>
      <c r="F78" s="7">
        <v>0.1</v>
      </c>
      <c r="G78" s="8">
        <v>0.8</v>
      </c>
      <c r="H78" s="9">
        <v>4903</v>
      </c>
      <c r="I78" s="10">
        <v>2.6028057380988702E-4</v>
      </c>
      <c r="J78" s="11">
        <v>502.51900376675803</v>
      </c>
      <c r="K78" s="12"/>
      <c r="L78" s="12" t="s">
        <v>380</v>
      </c>
      <c r="M78" s="193" t="s">
        <v>374</v>
      </c>
      <c r="N78" s="193" t="s">
        <v>381</v>
      </c>
      <c r="O78" s="173" t="s">
        <v>1171</v>
      </c>
      <c r="P78" s="173" t="s">
        <v>1171</v>
      </c>
      <c r="Q78" s="173" t="s">
        <v>1171</v>
      </c>
      <c r="R78" s="173" t="s">
        <v>1172</v>
      </c>
      <c r="S78" s="173" t="s">
        <v>1172</v>
      </c>
      <c r="T78" s="151" t="b">
        <v>1</v>
      </c>
      <c r="U78" s="188" t="str">
        <f t="shared" si="2"/>
        <v>P - 77NOx</v>
      </c>
      <c r="V78" s="192">
        <f t="shared" si="3"/>
        <v>4903</v>
      </c>
      <c r="X78" s="42"/>
      <c r="Y78" s="42"/>
      <c r="Z78" s="42"/>
      <c r="AA78" s="43"/>
      <c r="AB78" s="150"/>
    </row>
    <row r="79" spans="1:28" ht="48.4" x14ac:dyDescent="0.3">
      <c r="A79" s="51" t="str">
        <f>IF(ISNA(VLOOKUP(B79,Shortlist_xref!$A$5:$B$77,2,FALSE))=TRUE,"-",VLOOKUP(B79,Shortlist_xref!$A$5:$B$77,2,FALSE))</f>
        <v>-</v>
      </c>
      <c r="B79" s="3" t="s">
        <v>497</v>
      </c>
      <c r="C79" s="4" t="s">
        <v>494</v>
      </c>
      <c r="D79" s="5" t="s">
        <v>11</v>
      </c>
      <c r="E79" s="6" t="s">
        <v>12</v>
      </c>
      <c r="F79" s="7">
        <v>0.1</v>
      </c>
      <c r="G79" s="8">
        <v>0.5</v>
      </c>
      <c r="H79" s="9">
        <v>3051.3333333333335</v>
      </c>
      <c r="I79" s="10">
        <v>4.7722248430128193E-4</v>
      </c>
      <c r="J79" s="11">
        <v>334.84409183493449</v>
      </c>
      <c r="K79" s="12"/>
      <c r="L79" s="12" t="s">
        <v>373</v>
      </c>
      <c r="M79" s="193" t="s">
        <v>374</v>
      </c>
      <c r="N79" s="193" t="s">
        <v>375</v>
      </c>
      <c r="O79" s="173" t="s">
        <v>1171</v>
      </c>
      <c r="P79" s="173" t="s">
        <v>1171</v>
      </c>
      <c r="Q79" s="173" t="s">
        <v>1171</v>
      </c>
      <c r="R79" s="173" t="s">
        <v>1172</v>
      </c>
      <c r="S79" s="173" t="s">
        <v>1172</v>
      </c>
      <c r="T79" s="151" t="b">
        <v>1</v>
      </c>
      <c r="U79" s="188" t="str">
        <f t="shared" si="2"/>
        <v>P - 78NOx</v>
      </c>
      <c r="V79" s="192">
        <f t="shared" si="3"/>
        <v>3051.3333333333335</v>
      </c>
      <c r="X79" s="42"/>
      <c r="Y79" s="42"/>
      <c r="Z79" s="42"/>
      <c r="AA79" s="43"/>
      <c r="AB79" s="150"/>
    </row>
    <row r="80" spans="1:28" ht="24.2" x14ac:dyDescent="0.3">
      <c r="A80" s="51" t="str">
        <f>IF(ISNA(VLOOKUP(B80,Shortlist_xref!$A$5:$B$77,2,FALSE))=TRUE,"-",VLOOKUP(B80,Shortlist_xref!$A$5:$B$77,2,FALSE))</f>
        <v>-</v>
      </c>
      <c r="B80" s="3" t="s">
        <v>498</v>
      </c>
      <c r="C80" s="4" t="s">
        <v>494</v>
      </c>
      <c r="D80" s="5" t="s">
        <v>486</v>
      </c>
      <c r="E80" s="6" t="s">
        <v>12</v>
      </c>
      <c r="F80" s="7">
        <v>0.1</v>
      </c>
      <c r="G80" s="8">
        <v>0.75</v>
      </c>
      <c r="H80" s="9">
        <v>2166.5</v>
      </c>
      <c r="I80" s="10">
        <v>4.7722905502330971E-4</v>
      </c>
      <c r="J80" s="11">
        <v>502.26740252615178</v>
      </c>
      <c r="K80" s="12"/>
      <c r="L80" s="12" t="s">
        <v>380</v>
      </c>
      <c r="M80" s="193" t="s">
        <v>374</v>
      </c>
      <c r="N80" s="193" t="s">
        <v>381</v>
      </c>
      <c r="O80" s="173" t="s">
        <v>1171</v>
      </c>
      <c r="P80" s="173" t="s">
        <v>1171</v>
      </c>
      <c r="Q80" s="173" t="s">
        <v>1171</v>
      </c>
      <c r="R80" s="173" t="s">
        <v>1172</v>
      </c>
      <c r="S80" s="173" t="s">
        <v>1172</v>
      </c>
      <c r="T80" s="151" t="b">
        <v>1</v>
      </c>
      <c r="U80" s="188" t="str">
        <f t="shared" si="2"/>
        <v>P - 79NOx</v>
      </c>
      <c r="V80" s="192">
        <f t="shared" si="3"/>
        <v>2166.5</v>
      </c>
      <c r="X80" s="42"/>
      <c r="Y80" s="42"/>
      <c r="Z80" s="42"/>
      <c r="AA80" s="43"/>
      <c r="AB80" s="150"/>
    </row>
    <row r="81" spans="1:28" ht="24.2" x14ac:dyDescent="0.3">
      <c r="A81" s="51" t="str">
        <f>IF(ISNA(VLOOKUP(B81,Shortlist_xref!$A$5:$B$77,2,FALSE))=TRUE,"-",VLOOKUP(B81,Shortlist_xref!$A$5:$B$77,2,FALSE))</f>
        <v>-</v>
      </c>
      <c r="B81" s="3" t="s">
        <v>499</v>
      </c>
      <c r="C81" s="4" t="s">
        <v>500</v>
      </c>
      <c r="D81" s="5" t="s">
        <v>434</v>
      </c>
      <c r="E81" s="6" t="s">
        <v>12</v>
      </c>
      <c r="F81" s="7">
        <v>0.1</v>
      </c>
      <c r="G81" s="8">
        <v>0.55000000000000004</v>
      </c>
      <c r="H81" s="9">
        <v>5938.5</v>
      </c>
      <c r="I81" s="10">
        <v>4.9481095093470927E-4</v>
      </c>
      <c r="J81" s="11">
        <v>503.64555419362284</v>
      </c>
      <c r="K81" s="12"/>
      <c r="L81" s="12" t="s">
        <v>380</v>
      </c>
      <c r="M81" s="193" t="s">
        <v>374</v>
      </c>
      <c r="N81" s="193" t="s">
        <v>381</v>
      </c>
      <c r="O81" s="173" t="s">
        <v>1171</v>
      </c>
      <c r="P81" s="173" t="s">
        <v>1171</v>
      </c>
      <c r="Q81" s="173" t="s">
        <v>1171</v>
      </c>
      <c r="R81" s="173" t="s">
        <v>1172</v>
      </c>
      <c r="S81" s="173" t="s">
        <v>1172</v>
      </c>
      <c r="T81" s="151" t="b">
        <v>1</v>
      </c>
      <c r="U81" s="188" t="str">
        <f t="shared" si="2"/>
        <v>P - 80NOx</v>
      </c>
      <c r="V81" s="192">
        <f t="shared" si="3"/>
        <v>5938.5</v>
      </c>
      <c r="X81" s="42"/>
      <c r="Y81" s="42"/>
      <c r="Z81" s="42"/>
      <c r="AA81" s="43"/>
      <c r="AB81" s="150"/>
    </row>
    <row r="82" spans="1:28" ht="24.2" x14ac:dyDescent="0.3">
      <c r="A82" s="51" t="str">
        <f>IF(ISNA(VLOOKUP(B82,Shortlist_xref!$A$5:$B$77,2,FALSE))=TRUE,"-",VLOOKUP(B82,Shortlist_xref!$A$5:$B$77,2,FALSE))</f>
        <v>-</v>
      </c>
      <c r="B82" s="3" t="s">
        <v>501</v>
      </c>
      <c r="C82" s="4" t="s">
        <v>502</v>
      </c>
      <c r="D82" s="5" t="s">
        <v>441</v>
      </c>
      <c r="E82" s="6" t="s">
        <v>12</v>
      </c>
      <c r="F82" s="7">
        <v>0.1</v>
      </c>
      <c r="G82" s="8">
        <v>0.91</v>
      </c>
      <c r="H82" s="9">
        <v>6885.5</v>
      </c>
      <c r="I82" s="10">
        <v>3.9847194263175875E-6</v>
      </c>
      <c r="J82" s="11">
        <v>0.39954915000000008</v>
      </c>
      <c r="K82" s="12"/>
      <c r="L82" s="12" t="s">
        <v>380</v>
      </c>
      <c r="M82" s="193" t="s">
        <v>374</v>
      </c>
      <c r="N82" s="193" t="s">
        <v>381</v>
      </c>
      <c r="O82" s="173" t="s">
        <v>1171</v>
      </c>
      <c r="P82" s="173" t="s">
        <v>1171</v>
      </c>
      <c r="Q82" s="173" t="s">
        <v>1171</v>
      </c>
      <c r="R82" s="173" t="s">
        <v>1172</v>
      </c>
      <c r="S82" s="173" t="s">
        <v>1172</v>
      </c>
      <c r="T82" s="151" t="b">
        <v>1</v>
      </c>
      <c r="U82" s="188" t="str">
        <f t="shared" si="2"/>
        <v>P - 81NOx</v>
      </c>
      <c r="V82" s="192">
        <f t="shared" si="3"/>
        <v>6885.5</v>
      </c>
      <c r="X82" s="42"/>
      <c r="Y82" s="42"/>
      <c r="Z82" s="42"/>
      <c r="AA82" s="43"/>
      <c r="AB82" s="150"/>
    </row>
    <row r="83" spans="1:28" ht="24.2" x14ac:dyDescent="0.3">
      <c r="A83" s="51" t="str">
        <f>IF(ISNA(VLOOKUP(B83,Shortlist_xref!$A$5:$B$77,2,FALSE))=TRUE,"-",VLOOKUP(B83,Shortlist_xref!$A$5:$B$77,2,FALSE))</f>
        <v>-</v>
      </c>
      <c r="B83" s="3" t="s">
        <v>503</v>
      </c>
      <c r="C83" s="4" t="s">
        <v>504</v>
      </c>
      <c r="D83" s="5" t="s">
        <v>434</v>
      </c>
      <c r="E83" s="6" t="s">
        <v>12</v>
      </c>
      <c r="F83" s="7">
        <v>0.1</v>
      </c>
      <c r="G83" s="8">
        <v>0.55000000000000004</v>
      </c>
      <c r="H83" s="9">
        <v>4542</v>
      </c>
      <c r="I83" s="10">
        <v>1.9506189096422618E-6</v>
      </c>
      <c r="J83" s="11">
        <v>24.602119300000005</v>
      </c>
      <c r="K83" s="12"/>
      <c r="L83" s="12" t="s">
        <v>380</v>
      </c>
      <c r="M83" s="193" t="s">
        <v>374</v>
      </c>
      <c r="N83" s="193" t="s">
        <v>381</v>
      </c>
      <c r="O83" s="173" t="s">
        <v>1171</v>
      </c>
      <c r="P83" s="173" t="s">
        <v>1171</v>
      </c>
      <c r="Q83" s="173" t="s">
        <v>1171</v>
      </c>
      <c r="R83" s="173" t="s">
        <v>1172</v>
      </c>
      <c r="S83" s="173" t="s">
        <v>1172</v>
      </c>
      <c r="T83" s="151" t="b">
        <v>1</v>
      </c>
      <c r="U83" s="188" t="str">
        <f t="shared" si="2"/>
        <v>P - 82NOx</v>
      </c>
      <c r="V83" s="192">
        <f t="shared" si="3"/>
        <v>4542</v>
      </c>
      <c r="X83" s="42"/>
      <c r="Y83" s="42"/>
      <c r="Z83" s="42"/>
      <c r="AA83" s="43"/>
      <c r="AB83" s="150"/>
    </row>
    <row r="84" spans="1:28" ht="60.5" x14ac:dyDescent="0.3">
      <c r="A84" s="51" t="str">
        <f>IF(ISNA(VLOOKUP(B84,Shortlist_xref!$A$5:$B$77,2,FALSE))=TRUE,"-",VLOOKUP(B84,Shortlist_xref!$A$5:$B$77,2,FALSE))</f>
        <v>-</v>
      </c>
      <c r="B84" s="3" t="s">
        <v>505</v>
      </c>
      <c r="C84" s="4" t="s">
        <v>506</v>
      </c>
      <c r="D84" s="5" t="s">
        <v>21</v>
      </c>
      <c r="E84" s="6" t="s">
        <v>12</v>
      </c>
      <c r="F84" s="7">
        <v>0.1</v>
      </c>
      <c r="G84" s="8">
        <v>0.77500000000000002</v>
      </c>
      <c r="H84" s="9">
        <v>11473.333333333334</v>
      </c>
      <c r="I84" s="10">
        <v>2.2372489566878316E-4</v>
      </c>
      <c r="J84" s="11">
        <v>461.16794000438006</v>
      </c>
      <c r="K84" s="12"/>
      <c r="L84" s="12" t="s">
        <v>507</v>
      </c>
      <c r="M84" s="193" t="s">
        <v>374</v>
      </c>
      <c r="N84" s="193" t="s">
        <v>375</v>
      </c>
      <c r="O84" s="173" t="s">
        <v>1171</v>
      </c>
      <c r="P84" s="173" t="s">
        <v>1171</v>
      </c>
      <c r="Q84" s="173" t="s">
        <v>1171</v>
      </c>
      <c r="R84" s="173" t="s">
        <v>1172</v>
      </c>
      <c r="S84" s="173" t="s">
        <v>1172</v>
      </c>
      <c r="T84" s="151" t="b">
        <v>1</v>
      </c>
      <c r="U84" s="188" t="str">
        <f t="shared" si="2"/>
        <v>P - 83NOx</v>
      </c>
      <c r="V84" s="192">
        <f t="shared" si="3"/>
        <v>11473.333333333334</v>
      </c>
      <c r="X84" s="42"/>
      <c r="Y84" s="42"/>
      <c r="Z84" s="42"/>
      <c r="AA84" s="43"/>
      <c r="AB84" s="150"/>
    </row>
    <row r="85" spans="1:28" ht="24.2" x14ac:dyDescent="0.3">
      <c r="A85" s="51" t="str">
        <f>IF(ISNA(VLOOKUP(B85,Shortlist_xref!$A$5:$B$77,2,FALSE))=TRUE,"-",VLOOKUP(B85,Shortlist_xref!$A$5:$B$77,2,FALSE))</f>
        <v>-</v>
      </c>
      <c r="B85" s="3" t="s">
        <v>508</v>
      </c>
      <c r="C85" s="4" t="s">
        <v>509</v>
      </c>
      <c r="D85" s="5" t="s">
        <v>441</v>
      </c>
      <c r="E85" s="6" t="s">
        <v>12</v>
      </c>
      <c r="F85" s="7">
        <v>0.1</v>
      </c>
      <c r="G85" s="8">
        <v>0.9</v>
      </c>
      <c r="H85" s="9">
        <v>6316</v>
      </c>
      <c r="I85" s="10">
        <v>1.8483478260900553E-4</v>
      </c>
      <c r="J85" s="11">
        <v>367.78031494417627</v>
      </c>
      <c r="K85" s="12"/>
      <c r="L85" s="12" t="s">
        <v>380</v>
      </c>
      <c r="M85" s="193" t="s">
        <v>374</v>
      </c>
      <c r="N85" s="193" t="s">
        <v>381</v>
      </c>
      <c r="O85" s="173" t="s">
        <v>1171</v>
      </c>
      <c r="P85" s="173" t="s">
        <v>1171</v>
      </c>
      <c r="Q85" s="173" t="s">
        <v>1171</v>
      </c>
      <c r="R85" s="173" t="s">
        <v>1172</v>
      </c>
      <c r="S85" s="173" t="s">
        <v>1172</v>
      </c>
      <c r="T85" s="151" t="b">
        <v>1</v>
      </c>
      <c r="U85" s="188" t="str">
        <f t="shared" si="2"/>
        <v>P - 84NOx</v>
      </c>
      <c r="V85" s="192">
        <f t="shared" si="3"/>
        <v>6316</v>
      </c>
      <c r="X85" s="42"/>
      <c r="Y85" s="42"/>
      <c r="Z85" s="42"/>
      <c r="AA85" s="43"/>
      <c r="AB85" s="150"/>
    </row>
    <row r="86" spans="1:28" ht="24.2" x14ac:dyDescent="0.3">
      <c r="A86" s="51" t="str">
        <f>IF(ISNA(VLOOKUP(B86,Shortlist_xref!$A$5:$B$77,2,FALSE))=TRUE,"-",VLOOKUP(B86,Shortlist_xref!$A$5:$B$77,2,FALSE))</f>
        <v>-</v>
      </c>
      <c r="B86" s="3" t="s">
        <v>510</v>
      </c>
      <c r="C86" s="4" t="s">
        <v>511</v>
      </c>
      <c r="D86" s="5" t="s">
        <v>18</v>
      </c>
      <c r="E86" s="6" t="s">
        <v>12</v>
      </c>
      <c r="F86" s="7">
        <v>0.1</v>
      </c>
      <c r="G86" s="8">
        <v>0.37</v>
      </c>
      <c r="H86" s="9">
        <v>2592.5</v>
      </c>
      <c r="I86" s="10">
        <v>6.1487774581417496E-5</v>
      </c>
      <c r="J86" s="11">
        <v>99.811014485532738</v>
      </c>
      <c r="K86" s="12"/>
      <c r="L86" s="12" t="s">
        <v>380</v>
      </c>
      <c r="M86" s="193" t="s">
        <v>374</v>
      </c>
      <c r="N86" s="193" t="s">
        <v>381</v>
      </c>
      <c r="O86" s="173" t="s">
        <v>1171</v>
      </c>
      <c r="P86" s="173" t="s">
        <v>1171</v>
      </c>
      <c r="Q86" s="173" t="s">
        <v>1171</v>
      </c>
      <c r="R86" s="173" t="s">
        <v>1172</v>
      </c>
      <c r="S86" s="173" t="s">
        <v>1172</v>
      </c>
      <c r="T86" s="151" t="b">
        <v>1</v>
      </c>
      <c r="U86" s="188" t="str">
        <f t="shared" si="2"/>
        <v>P - 85NOx</v>
      </c>
      <c r="V86" s="192">
        <f t="shared" si="3"/>
        <v>2592.5</v>
      </c>
      <c r="X86" s="42"/>
      <c r="Y86" s="42"/>
      <c r="Z86" s="42"/>
      <c r="AA86" s="43"/>
      <c r="AB86" s="150"/>
    </row>
    <row r="87" spans="1:28" ht="24.2" x14ac:dyDescent="0.3">
      <c r="A87" s="51" t="str">
        <f>IF(ISNA(VLOOKUP(B87,Shortlist_xref!$A$5:$B$77,2,FALSE))=TRUE,"-",VLOOKUP(B87,Shortlist_xref!$A$5:$B$77,2,FALSE))</f>
        <v>-</v>
      </c>
      <c r="B87" s="3" t="s">
        <v>512</v>
      </c>
      <c r="C87" s="4" t="s">
        <v>511</v>
      </c>
      <c r="D87" s="5" t="s">
        <v>434</v>
      </c>
      <c r="E87" s="6" t="s">
        <v>12</v>
      </c>
      <c r="F87" s="7">
        <v>0.1</v>
      </c>
      <c r="G87" s="8">
        <v>0.34</v>
      </c>
      <c r="H87" s="9">
        <v>3908</v>
      </c>
      <c r="I87" s="10">
        <v>6.5399176389964255E-5</v>
      </c>
      <c r="J87" s="11">
        <v>91.404893877800006</v>
      </c>
      <c r="K87" s="12"/>
      <c r="L87" s="12" t="s">
        <v>380</v>
      </c>
      <c r="M87" s="193" t="s">
        <v>374</v>
      </c>
      <c r="N87" s="193" t="s">
        <v>381</v>
      </c>
      <c r="O87" s="173" t="s">
        <v>1171</v>
      </c>
      <c r="P87" s="173" t="s">
        <v>1171</v>
      </c>
      <c r="Q87" s="173" t="s">
        <v>1171</v>
      </c>
      <c r="R87" s="173" t="s">
        <v>1172</v>
      </c>
      <c r="S87" s="173" t="s">
        <v>1172</v>
      </c>
      <c r="T87" s="151" t="b">
        <v>1</v>
      </c>
      <c r="U87" s="188" t="str">
        <f t="shared" si="2"/>
        <v>P - 86NOx</v>
      </c>
      <c r="V87" s="192">
        <f t="shared" si="3"/>
        <v>3908</v>
      </c>
      <c r="X87" s="42"/>
      <c r="Y87" s="42"/>
      <c r="Z87" s="42"/>
      <c r="AA87" s="43"/>
      <c r="AB87" s="150"/>
    </row>
    <row r="88" spans="1:28" ht="48.4" x14ac:dyDescent="0.3">
      <c r="A88" s="51" t="str">
        <f>IF(ISNA(VLOOKUP(B88,Shortlist_xref!$A$5:$B$77,2,FALSE))=TRUE,"-",VLOOKUP(B88,Shortlist_xref!$A$5:$B$77,2,FALSE))</f>
        <v>-</v>
      </c>
      <c r="B88" s="3" t="s">
        <v>513</v>
      </c>
      <c r="C88" s="4" t="s">
        <v>511</v>
      </c>
      <c r="D88" s="5" t="s">
        <v>21</v>
      </c>
      <c r="E88" s="6" t="s">
        <v>12</v>
      </c>
      <c r="F88" s="7">
        <v>0.1</v>
      </c>
      <c r="G88" s="8">
        <v>0.77500000000000002</v>
      </c>
      <c r="H88" s="9">
        <v>5449.666666666667</v>
      </c>
      <c r="I88" s="10">
        <v>6.1487774581417496E-5</v>
      </c>
      <c r="J88" s="11">
        <v>209.06361142239967</v>
      </c>
      <c r="K88" s="12"/>
      <c r="L88" s="12" t="s">
        <v>396</v>
      </c>
      <c r="M88" s="193" t="s">
        <v>374</v>
      </c>
      <c r="N88" s="193" t="s">
        <v>375</v>
      </c>
      <c r="O88" s="173" t="s">
        <v>1171</v>
      </c>
      <c r="P88" s="173" t="s">
        <v>1171</v>
      </c>
      <c r="Q88" s="173" t="s">
        <v>1171</v>
      </c>
      <c r="R88" s="173" t="s">
        <v>1172</v>
      </c>
      <c r="S88" s="173" t="s">
        <v>1172</v>
      </c>
      <c r="T88" s="151" t="b">
        <v>1</v>
      </c>
      <c r="U88" s="188" t="str">
        <f t="shared" si="2"/>
        <v>P - 87NOx</v>
      </c>
      <c r="V88" s="192">
        <f t="shared" si="3"/>
        <v>5449.666666666667</v>
      </c>
      <c r="X88" s="42"/>
      <c r="Y88" s="42"/>
      <c r="Z88" s="42"/>
      <c r="AA88" s="43"/>
      <c r="AB88" s="150"/>
    </row>
    <row r="89" spans="1:28" ht="49" x14ac:dyDescent="0.3">
      <c r="A89" s="51" t="str">
        <f>IF(ISNA(VLOOKUP(B89,Shortlist_xref!$A$5:$B$77,2,FALSE))=TRUE,"-",VLOOKUP(B89,Shortlist_xref!$A$5:$B$77,2,FALSE))</f>
        <v>-</v>
      </c>
      <c r="B89" s="3" t="s">
        <v>514</v>
      </c>
      <c r="C89" s="4" t="s">
        <v>511</v>
      </c>
      <c r="D89" s="5" t="s">
        <v>11</v>
      </c>
      <c r="E89" s="6" t="s">
        <v>12</v>
      </c>
      <c r="F89" s="7">
        <v>0.1</v>
      </c>
      <c r="G89" s="8">
        <v>0.5</v>
      </c>
      <c r="H89" s="9">
        <v>2104.3333333333335</v>
      </c>
      <c r="I89" s="10">
        <v>3.0475913253398003E-5</v>
      </c>
      <c r="J89" s="11">
        <v>19.810620931818391</v>
      </c>
      <c r="K89" s="13"/>
      <c r="L89" s="13" t="s">
        <v>373</v>
      </c>
      <c r="M89" s="193" t="s">
        <v>374</v>
      </c>
      <c r="N89" s="193" t="s">
        <v>375</v>
      </c>
      <c r="O89" s="173" t="s">
        <v>1171</v>
      </c>
      <c r="P89" s="173" t="s">
        <v>1171</v>
      </c>
      <c r="Q89" s="173" t="s">
        <v>1171</v>
      </c>
      <c r="R89" s="173" t="s">
        <v>1172</v>
      </c>
      <c r="S89" s="173" t="s">
        <v>1172</v>
      </c>
      <c r="T89" s="151" t="b">
        <v>1</v>
      </c>
      <c r="U89" s="188" t="str">
        <f t="shared" si="2"/>
        <v>P - 88NOx</v>
      </c>
      <c r="V89" s="192">
        <f t="shared" si="3"/>
        <v>2104.3333333333335</v>
      </c>
      <c r="X89" s="42"/>
      <c r="Y89" s="42"/>
      <c r="Z89" s="42"/>
      <c r="AA89" s="43"/>
      <c r="AB89" s="150"/>
    </row>
    <row r="90" spans="1:28" ht="24.2" x14ac:dyDescent="0.3">
      <c r="A90" s="51" t="str">
        <f>IF(ISNA(VLOOKUP(B90,Shortlist_xref!$A$5:$B$77,2,FALSE))=TRUE,"-",VLOOKUP(B90,Shortlist_xref!$A$5:$B$77,2,FALSE))</f>
        <v>-</v>
      </c>
      <c r="B90" s="3" t="s">
        <v>515</v>
      </c>
      <c r="C90" s="4" t="s">
        <v>511</v>
      </c>
      <c r="D90" s="5" t="s">
        <v>486</v>
      </c>
      <c r="E90" s="6" t="s">
        <v>12</v>
      </c>
      <c r="F90" s="7">
        <v>0.1</v>
      </c>
      <c r="G90" s="8">
        <v>0.73</v>
      </c>
      <c r="H90" s="9">
        <v>1324</v>
      </c>
      <c r="I90" s="10">
        <v>1.8881505751890777E-4</v>
      </c>
      <c r="J90" s="11">
        <v>298.61236874916517</v>
      </c>
      <c r="K90" s="12"/>
      <c r="L90" s="12" t="s">
        <v>380</v>
      </c>
      <c r="M90" s="193" t="s">
        <v>374</v>
      </c>
      <c r="N90" s="193" t="s">
        <v>381</v>
      </c>
      <c r="O90" s="173" t="s">
        <v>1171</v>
      </c>
      <c r="P90" s="173" t="s">
        <v>1171</v>
      </c>
      <c r="Q90" s="173" t="s">
        <v>1171</v>
      </c>
      <c r="R90" s="173" t="s">
        <v>1172</v>
      </c>
      <c r="S90" s="173" t="s">
        <v>1172</v>
      </c>
      <c r="T90" s="151" t="b">
        <v>1</v>
      </c>
      <c r="U90" s="188" t="str">
        <f t="shared" si="2"/>
        <v>P - 89NOx</v>
      </c>
      <c r="V90" s="192">
        <f t="shared" si="3"/>
        <v>1324</v>
      </c>
      <c r="X90" s="42"/>
      <c r="Y90" s="42"/>
      <c r="Z90" s="42"/>
      <c r="AA90" s="43"/>
      <c r="AB90" s="150"/>
    </row>
    <row r="91" spans="1:28" x14ac:dyDescent="0.3">
      <c r="A91" s="51" t="str">
        <f>IF(ISNA(VLOOKUP(B91,Shortlist_xref!$A$5:$B$77,2,FALSE))=TRUE,"-",VLOOKUP(B91,Shortlist_xref!$A$5:$B$77,2,FALSE))</f>
        <v>-</v>
      </c>
      <c r="B91" s="3" t="s">
        <v>516</v>
      </c>
      <c r="C91" s="4" t="s">
        <v>517</v>
      </c>
      <c r="D91" s="5" t="s">
        <v>26</v>
      </c>
      <c r="E91" s="6" t="s">
        <v>12</v>
      </c>
      <c r="F91" s="7">
        <v>0.1</v>
      </c>
      <c r="G91" s="8">
        <v>0.9</v>
      </c>
      <c r="H91" s="9">
        <v>1825</v>
      </c>
      <c r="I91" s="10">
        <v>0</v>
      </c>
      <c r="J91" s="11">
        <v>0</v>
      </c>
      <c r="K91" s="12"/>
      <c r="L91" s="12" t="s">
        <v>402</v>
      </c>
      <c r="M91" s="193" t="s">
        <v>403</v>
      </c>
      <c r="N91" s="193" t="s">
        <v>381</v>
      </c>
      <c r="O91" s="173" t="s">
        <v>1171</v>
      </c>
      <c r="P91" s="173" t="s">
        <v>1171</v>
      </c>
      <c r="Q91" s="173" t="s">
        <v>1171</v>
      </c>
      <c r="R91" s="173" t="s">
        <v>1172</v>
      </c>
      <c r="S91" s="173" t="s">
        <v>1172</v>
      </c>
      <c r="T91" s="151" t="b">
        <v>1</v>
      </c>
      <c r="U91" s="188" t="str">
        <f t="shared" si="2"/>
        <v>P - 90NOx</v>
      </c>
      <c r="V91" s="192">
        <f t="shared" si="3"/>
        <v>1825</v>
      </c>
      <c r="X91" s="42"/>
      <c r="Y91" s="42"/>
      <c r="Z91" s="42"/>
      <c r="AA91" s="43"/>
      <c r="AB91" s="150"/>
    </row>
    <row r="92" spans="1:28" ht="36.299999999999997" x14ac:dyDescent="0.3">
      <c r="A92" s="51" t="str">
        <f>IF(ISNA(VLOOKUP(B92,Shortlist_xref!$A$5:$B$77,2,FALSE))=TRUE,"-",VLOOKUP(B92,Shortlist_xref!$A$5:$B$77,2,FALSE))</f>
        <v>-</v>
      </c>
      <c r="B92" s="3" t="s">
        <v>518</v>
      </c>
      <c r="C92" s="4" t="s">
        <v>517</v>
      </c>
      <c r="D92" s="5" t="s">
        <v>519</v>
      </c>
      <c r="E92" s="6" t="s">
        <v>12</v>
      </c>
      <c r="F92" s="7" t="s">
        <v>37</v>
      </c>
      <c r="G92" s="8" t="s">
        <v>37</v>
      </c>
      <c r="H92" s="9" t="s">
        <v>37</v>
      </c>
      <c r="I92" s="10" t="s">
        <v>37</v>
      </c>
      <c r="J92" s="11" t="s">
        <v>37</v>
      </c>
      <c r="K92" s="12" t="s">
        <v>423</v>
      </c>
      <c r="L92" s="12" t="s">
        <v>424</v>
      </c>
      <c r="M92" s="193" t="s">
        <v>425</v>
      </c>
      <c r="N92" s="193" t="s">
        <v>426</v>
      </c>
      <c r="O92" s="173" t="s">
        <v>1171</v>
      </c>
      <c r="P92" s="173" t="s">
        <v>1171</v>
      </c>
      <c r="Q92" s="173" t="s">
        <v>1172</v>
      </c>
      <c r="R92" s="173" t="s">
        <v>1172</v>
      </c>
      <c r="S92" s="173" t="s">
        <v>1171</v>
      </c>
      <c r="T92" s="151" t="b">
        <v>1</v>
      </c>
      <c r="U92" s="188" t="str">
        <f t="shared" si="2"/>
        <v>P - 91NOx</v>
      </c>
      <c r="V92" s="192" t="str">
        <f t="shared" si="3"/>
        <v>NA</v>
      </c>
      <c r="X92" s="42"/>
      <c r="Y92" s="42"/>
      <c r="Z92" s="42"/>
      <c r="AA92" s="43"/>
      <c r="AB92" s="150"/>
    </row>
    <row r="93" spans="1:28" ht="24.2" x14ac:dyDescent="0.3">
      <c r="A93" s="51" t="str">
        <f>IF(ISNA(VLOOKUP(B93,Shortlist_xref!$A$5:$B$77,2,FALSE))=TRUE,"-",VLOOKUP(B93,Shortlist_xref!$A$5:$B$77,2,FALSE))</f>
        <v>-</v>
      </c>
      <c r="B93" s="3" t="s">
        <v>520</v>
      </c>
      <c r="C93" s="4" t="s">
        <v>51</v>
      </c>
      <c r="D93" s="5" t="s">
        <v>52</v>
      </c>
      <c r="E93" s="6" t="s">
        <v>53</v>
      </c>
      <c r="F93" s="7">
        <v>0.1</v>
      </c>
      <c r="G93" s="8">
        <v>0.78</v>
      </c>
      <c r="H93" s="9">
        <v>1290</v>
      </c>
      <c r="I93" s="10">
        <v>1.1887699413062336E-3</v>
      </c>
      <c r="J93" s="11">
        <v>139.88356291260001</v>
      </c>
      <c r="K93" s="12"/>
      <c r="L93" s="12" t="s">
        <v>380</v>
      </c>
      <c r="M93" s="193" t="s">
        <v>374</v>
      </c>
      <c r="N93" s="193" t="s">
        <v>381</v>
      </c>
      <c r="O93" s="173" t="s">
        <v>1171</v>
      </c>
      <c r="P93" s="173" t="s">
        <v>1171</v>
      </c>
      <c r="Q93" s="173" t="s">
        <v>1171</v>
      </c>
      <c r="R93" s="173" t="s">
        <v>1172</v>
      </c>
      <c r="S93" s="173" t="s">
        <v>1172</v>
      </c>
      <c r="T93" s="151" t="b">
        <v>1</v>
      </c>
      <c r="U93" s="188" t="str">
        <f t="shared" si="2"/>
        <v>P - 92VOC</v>
      </c>
      <c r="V93" s="192">
        <f t="shared" si="3"/>
        <v>1290</v>
      </c>
      <c r="X93" s="42"/>
      <c r="Y93" s="42"/>
      <c r="Z93" s="42"/>
      <c r="AA93" s="43"/>
      <c r="AB93" s="150"/>
    </row>
    <row r="94" spans="1:28" ht="24.2" x14ac:dyDescent="0.3">
      <c r="A94" s="51" t="str">
        <f>IF(ISNA(VLOOKUP(B94,Shortlist_xref!$A$5:$B$77,2,FALSE))=TRUE,"-",VLOOKUP(B94,Shortlist_xref!$A$5:$B$77,2,FALSE))</f>
        <v>-</v>
      </c>
      <c r="B94" s="3" t="s">
        <v>521</v>
      </c>
      <c r="C94" s="4" t="s">
        <v>522</v>
      </c>
      <c r="D94" s="5" t="s">
        <v>523</v>
      </c>
      <c r="E94" s="6" t="s">
        <v>53</v>
      </c>
      <c r="F94" s="7">
        <v>0.1</v>
      </c>
      <c r="G94" s="8">
        <v>0.98</v>
      </c>
      <c r="H94" s="9">
        <v>3255</v>
      </c>
      <c r="I94" s="10">
        <v>1.0434608971432718E-6</v>
      </c>
      <c r="J94" s="11">
        <v>0.15426823906751586</v>
      </c>
      <c r="K94" s="12"/>
      <c r="L94" s="12" t="s">
        <v>380</v>
      </c>
      <c r="M94" s="193" t="s">
        <v>374</v>
      </c>
      <c r="N94" s="193" t="s">
        <v>381</v>
      </c>
      <c r="O94" s="173" t="s">
        <v>1171</v>
      </c>
      <c r="P94" s="173" t="s">
        <v>1171</v>
      </c>
      <c r="Q94" s="173" t="s">
        <v>1171</v>
      </c>
      <c r="R94" s="173" t="s">
        <v>1172</v>
      </c>
      <c r="S94" s="173" t="s">
        <v>1172</v>
      </c>
      <c r="T94" s="151" t="b">
        <v>1</v>
      </c>
      <c r="U94" s="188" t="str">
        <f t="shared" si="2"/>
        <v>P - 93VOC</v>
      </c>
      <c r="V94" s="192">
        <f t="shared" si="3"/>
        <v>3255</v>
      </c>
      <c r="X94" s="42"/>
      <c r="Y94" s="42"/>
      <c r="Z94" s="42"/>
      <c r="AA94" s="43"/>
      <c r="AB94" s="150"/>
    </row>
    <row r="95" spans="1:28" ht="24.2" x14ac:dyDescent="0.3">
      <c r="A95" s="51" t="str">
        <f>IF(ISNA(VLOOKUP(B95,Shortlist_xref!$A$5:$B$77,2,FALSE))=TRUE,"-",VLOOKUP(B95,Shortlist_xref!$A$5:$B$77,2,FALSE))</f>
        <v>-</v>
      </c>
      <c r="B95" s="3" t="s">
        <v>524</v>
      </c>
      <c r="C95" s="4" t="s">
        <v>525</v>
      </c>
      <c r="D95" s="5" t="s">
        <v>526</v>
      </c>
      <c r="E95" s="6" t="s">
        <v>53</v>
      </c>
      <c r="F95" s="7">
        <v>0.1</v>
      </c>
      <c r="G95" s="8">
        <v>0.65</v>
      </c>
      <c r="H95" s="9">
        <v>3315</v>
      </c>
      <c r="I95" s="10">
        <v>2.0485841450303932E-4</v>
      </c>
      <c r="J95" s="11">
        <v>20.088218865000002</v>
      </c>
      <c r="K95" s="12"/>
      <c r="L95" s="12" t="s">
        <v>380</v>
      </c>
      <c r="M95" s="193" t="s">
        <v>374</v>
      </c>
      <c r="N95" s="193" t="s">
        <v>381</v>
      </c>
      <c r="O95" s="173" t="s">
        <v>1171</v>
      </c>
      <c r="P95" s="173" t="s">
        <v>1171</v>
      </c>
      <c r="Q95" s="173" t="s">
        <v>1171</v>
      </c>
      <c r="R95" s="173" t="s">
        <v>1172</v>
      </c>
      <c r="S95" s="173" t="s">
        <v>1172</v>
      </c>
      <c r="T95" s="151" t="b">
        <v>1</v>
      </c>
      <c r="U95" s="188" t="str">
        <f t="shared" si="2"/>
        <v>P - 94VOC</v>
      </c>
      <c r="V95" s="192">
        <f t="shared" si="3"/>
        <v>3315</v>
      </c>
      <c r="X95" s="42"/>
      <c r="Y95" s="42"/>
      <c r="Z95" s="42"/>
      <c r="AA95" s="43"/>
      <c r="AB95" s="150"/>
    </row>
    <row r="96" spans="1:28" x14ac:dyDescent="0.3">
      <c r="A96" s="51" t="str">
        <f>IF(ISNA(VLOOKUP(B96,Shortlist_xref!$A$5:$B$77,2,FALSE))=TRUE,"-",VLOOKUP(B96,Shortlist_xref!$A$5:$B$77,2,FALSE))</f>
        <v>-</v>
      </c>
      <c r="B96" s="3" t="s">
        <v>527</v>
      </c>
      <c r="C96" s="4" t="s">
        <v>54</v>
      </c>
      <c r="D96" s="5" t="s">
        <v>528</v>
      </c>
      <c r="E96" s="6" t="s">
        <v>53</v>
      </c>
      <c r="F96" s="7">
        <v>0.1</v>
      </c>
      <c r="G96" s="8">
        <v>0.98995</v>
      </c>
      <c r="H96" s="9">
        <v>2020</v>
      </c>
      <c r="I96" s="10">
        <v>0</v>
      </c>
      <c r="J96" s="11">
        <v>0</v>
      </c>
      <c r="K96" s="12"/>
      <c r="L96" s="12" t="s">
        <v>529</v>
      </c>
      <c r="M96" s="193" t="s">
        <v>530</v>
      </c>
      <c r="N96" s="193" t="s">
        <v>381</v>
      </c>
      <c r="O96" s="173" t="s">
        <v>1171</v>
      </c>
      <c r="P96" s="173" t="s">
        <v>1171</v>
      </c>
      <c r="Q96" s="173" t="s">
        <v>1171</v>
      </c>
      <c r="R96" s="173" t="s">
        <v>1172</v>
      </c>
      <c r="S96" s="173" t="s">
        <v>1172</v>
      </c>
      <c r="T96" s="151" t="b">
        <v>1</v>
      </c>
      <c r="U96" s="188" t="str">
        <f t="shared" si="2"/>
        <v>P - 95VOC</v>
      </c>
      <c r="V96" s="192">
        <f t="shared" si="3"/>
        <v>2020</v>
      </c>
      <c r="X96" s="42"/>
      <c r="Y96" s="42"/>
      <c r="Z96" s="42"/>
      <c r="AA96" s="43"/>
      <c r="AB96" s="150"/>
    </row>
    <row r="97" spans="1:28" ht="24.2" x14ac:dyDescent="0.3">
      <c r="A97" s="51" t="str">
        <f>IF(ISNA(VLOOKUP(B97,Shortlist_xref!$A$5:$B$77,2,FALSE))=TRUE,"-",VLOOKUP(B97,Shortlist_xref!$A$5:$B$77,2,FALSE))</f>
        <v>-</v>
      </c>
      <c r="B97" s="3" t="s">
        <v>531</v>
      </c>
      <c r="C97" s="4" t="s">
        <v>54</v>
      </c>
      <c r="D97" s="5" t="s">
        <v>532</v>
      </c>
      <c r="E97" s="6" t="s">
        <v>53</v>
      </c>
      <c r="F97" s="7">
        <v>0.1</v>
      </c>
      <c r="G97" s="8">
        <v>0.97</v>
      </c>
      <c r="H97" s="9">
        <v>2550</v>
      </c>
      <c r="I97" s="10">
        <v>8.4170201637929402E-6</v>
      </c>
      <c r="J97" s="11">
        <v>1.2316983778736061</v>
      </c>
      <c r="K97" s="12"/>
      <c r="L97" s="12" t="s">
        <v>533</v>
      </c>
      <c r="M97" s="193" t="s">
        <v>534</v>
      </c>
      <c r="N97" s="193" t="s">
        <v>381</v>
      </c>
      <c r="O97" s="173" t="s">
        <v>1171</v>
      </c>
      <c r="P97" s="173" t="s">
        <v>1171</v>
      </c>
      <c r="Q97" s="173" t="s">
        <v>1171</v>
      </c>
      <c r="R97" s="173" t="s">
        <v>1171</v>
      </c>
      <c r="S97" s="173" t="s">
        <v>1171</v>
      </c>
      <c r="T97" s="151" t="b">
        <v>1</v>
      </c>
      <c r="U97" s="188" t="str">
        <f t="shared" si="2"/>
        <v>P - 96VOC</v>
      </c>
      <c r="V97" s="192">
        <f t="shared" si="3"/>
        <v>2550</v>
      </c>
      <c r="X97" s="42"/>
      <c r="Y97" s="42"/>
      <c r="Z97" s="42"/>
      <c r="AA97" s="43"/>
      <c r="AB97" s="150"/>
    </row>
    <row r="98" spans="1:28" x14ac:dyDescent="0.3">
      <c r="A98" s="51" t="str">
        <f>IF(ISNA(VLOOKUP(B98,Shortlist_xref!$A$5:$B$77,2,FALSE))=TRUE,"-",VLOOKUP(B98,Shortlist_xref!$A$5:$B$77,2,FALSE))</f>
        <v>-</v>
      </c>
      <c r="B98" s="3" t="s">
        <v>535</v>
      </c>
      <c r="C98" s="4" t="s">
        <v>54</v>
      </c>
      <c r="D98" s="5" t="s">
        <v>536</v>
      </c>
      <c r="E98" s="6" t="s">
        <v>53</v>
      </c>
      <c r="F98" s="7">
        <v>0.1</v>
      </c>
      <c r="G98" s="8">
        <v>0.98499999999999999</v>
      </c>
      <c r="H98" s="9">
        <v>947.5</v>
      </c>
      <c r="I98" s="10">
        <v>8.4170201637929402E-6</v>
      </c>
      <c r="J98" s="11">
        <v>1.2507452600056721</v>
      </c>
      <c r="K98" s="12"/>
      <c r="L98" s="12" t="s">
        <v>537</v>
      </c>
      <c r="M98" s="193" t="s">
        <v>538</v>
      </c>
      <c r="N98" s="193" t="s">
        <v>381</v>
      </c>
      <c r="O98" s="173" t="s">
        <v>1171</v>
      </c>
      <c r="P98" s="173" t="s">
        <v>1171</v>
      </c>
      <c r="Q98" s="173" t="s">
        <v>1171</v>
      </c>
      <c r="R98" s="173" t="s">
        <v>1171</v>
      </c>
      <c r="S98" s="173" t="s">
        <v>1171</v>
      </c>
      <c r="T98" s="151" t="b">
        <v>1</v>
      </c>
      <c r="U98" s="188" t="str">
        <f t="shared" si="2"/>
        <v>P - 97VOC</v>
      </c>
      <c r="V98" s="192">
        <f t="shared" si="3"/>
        <v>947.5</v>
      </c>
      <c r="X98" s="42"/>
      <c r="Y98" s="42"/>
      <c r="Z98" s="42"/>
      <c r="AA98" s="43"/>
      <c r="AB98" s="150"/>
    </row>
    <row r="99" spans="1:28" x14ac:dyDescent="0.3">
      <c r="A99" s="51" t="str">
        <f>IF(ISNA(VLOOKUP(B99,Shortlist_xref!$A$5:$B$77,2,FALSE))=TRUE,"-",VLOOKUP(B99,Shortlist_xref!$A$5:$B$77,2,FALSE))</f>
        <v>-</v>
      </c>
      <c r="B99" s="3" t="s">
        <v>539</v>
      </c>
      <c r="C99" s="4" t="s">
        <v>54</v>
      </c>
      <c r="D99" s="5" t="s">
        <v>540</v>
      </c>
      <c r="E99" s="6" t="s">
        <v>53</v>
      </c>
      <c r="F99" s="7">
        <v>0.1</v>
      </c>
      <c r="G99" s="8">
        <v>0.98</v>
      </c>
      <c r="H99" s="9">
        <v>10550</v>
      </c>
      <c r="I99" s="10">
        <v>8.4170201637929402E-6</v>
      </c>
      <c r="J99" s="11">
        <v>1.2443962992949835</v>
      </c>
      <c r="K99" s="12"/>
      <c r="L99" s="12" t="s">
        <v>541</v>
      </c>
      <c r="M99" s="193" t="s">
        <v>542</v>
      </c>
      <c r="N99" s="193" t="s">
        <v>381</v>
      </c>
      <c r="O99" s="173" t="s">
        <v>1171</v>
      </c>
      <c r="P99" s="173" t="s">
        <v>1171</v>
      </c>
      <c r="Q99" s="173" t="s">
        <v>1171</v>
      </c>
      <c r="R99" s="173" t="s">
        <v>1171</v>
      </c>
      <c r="S99" s="173" t="s">
        <v>1171</v>
      </c>
      <c r="T99" s="151" t="b">
        <v>1</v>
      </c>
      <c r="U99" s="188" t="str">
        <f t="shared" si="2"/>
        <v>P - 98VOC</v>
      </c>
      <c r="V99" s="192">
        <f t="shared" si="3"/>
        <v>10550</v>
      </c>
      <c r="X99" s="42"/>
      <c r="Y99" s="42"/>
      <c r="Z99" s="42"/>
      <c r="AA99" s="43"/>
      <c r="AB99" s="150"/>
    </row>
    <row r="100" spans="1:28" ht="28.25" customHeight="1" x14ac:dyDescent="0.3">
      <c r="A100" s="51" t="str">
        <f>IF(ISNA(VLOOKUP(B100,Shortlist_xref!$A$5:$B$77,2,FALSE))=TRUE,"-",VLOOKUP(B100,Shortlist_xref!$A$5:$B$77,2,FALSE))</f>
        <v>C-E</v>
      </c>
      <c r="B100" s="3" t="s">
        <v>55</v>
      </c>
      <c r="C100" s="4" t="s">
        <v>54</v>
      </c>
      <c r="D100" s="5" t="s">
        <v>56</v>
      </c>
      <c r="E100" s="6" t="s">
        <v>53</v>
      </c>
      <c r="F100" s="7">
        <v>0.1</v>
      </c>
      <c r="G100" s="8">
        <v>0.8</v>
      </c>
      <c r="H100" s="9">
        <v>340</v>
      </c>
      <c r="I100" s="10">
        <v>8.4170201637929402E-6</v>
      </c>
      <c r="J100" s="11">
        <v>1.0158337137101907</v>
      </c>
      <c r="K100" s="12"/>
      <c r="L100" s="193" t="s">
        <v>543</v>
      </c>
      <c r="M100" s="193"/>
      <c r="N100" s="193" t="s">
        <v>381</v>
      </c>
      <c r="O100" s="173" t="s">
        <v>1171</v>
      </c>
      <c r="P100" s="173" t="s">
        <v>1171</v>
      </c>
      <c r="Q100" s="173" t="s">
        <v>1171</v>
      </c>
      <c r="R100" s="173" t="s">
        <v>1171</v>
      </c>
      <c r="S100" s="173" t="s">
        <v>1171</v>
      </c>
      <c r="T100" s="151" t="b">
        <v>1</v>
      </c>
      <c r="U100" s="188" t="str">
        <f t="shared" si="2"/>
        <v>P - 99VOC</v>
      </c>
      <c r="V100" s="192">
        <f t="shared" si="3"/>
        <v>340</v>
      </c>
      <c r="X100" s="42"/>
      <c r="Y100" s="42"/>
      <c r="Z100" s="42"/>
      <c r="AA100" s="43"/>
      <c r="AB100" s="150"/>
    </row>
    <row r="101" spans="1:28" ht="24.2" x14ac:dyDescent="0.3">
      <c r="A101" s="51" t="str">
        <f>IF(ISNA(VLOOKUP(B101,Shortlist_xref!$A$5:$B$77,2,FALSE))=TRUE,"-",VLOOKUP(B101,Shortlist_xref!$A$5:$B$77,2,FALSE))</f>
        <v>C-E</v>
      </c>
      <c r="B101" s="3" t="s">
        <v>57</v>
      </c>
      <c r="C101" s="4" t="s">
        <v>58</v>
      </c>
      <c r="D101" s="5" t="s">
        <v>59</v>
      </c>
      <c r="E101" s="6" t="s">
        <v>53</v>
      </c>
      <c r="F101" s="7">
        <v>0.1</v>
      </c>
      <c r="G101" s="8">
        <v>0.7</v>
      </c>
      <c r="H101" s="9">
        <v>457</v>
      </c>
      <c r="I101" s="10">
        <v>8.7159510035642705E-5</v>
      </c>
      <c r="J101" s="11">
        <v>9.2042220597667015</v>
      </c>
      <c r="K101" s="12"/>
      <c r="L101" s="12" t="s">
        <v>544</v>
      </c>
      <c r="M101" s="193" t="s">
        <v>545</v>
      </c>
      <c r="N101" s="193" t="s">
        <v>381</v>
      </c>
      <c r="O101" s="173" t="s">
        <v>1171</v>
      </c>
      <c r="P101" s="173" t="s">
        <v>1171</v>
      </c>
      <c r="Q101" s="173" t="s">
        <v>1171</v>
      </c>
      <c r="R101" s="173" t="s">
        <v>1171</v>
      </c>
      <c r="S101" s="173" t="s">
        <v>1171</v>
      </c>
      <c r="T101" s="151" t="b">
        <v>1</v>
      </c>
      <c r="U101" s="188" t="str">
        <f t="shared" si="2"/>
        <v>P - 100VOC</v>
      </c>
      <c r="V101" s="192">
        <f t="shared" si="3"/>
        <v>457</v>
      </c>
      <c r="X101" s="42"/>
      <c r="Y101" s="42"/>
      <c r="Z101" s="42"/>
      <c r="AA101" s="43"/>
      <c r="AB101" s="150"/>
    </row>
    <row r="102" spans="1:28" ht="24.2" x14ac:dyDescent="0.3">
      <c r="A102" s="51" t="str">
        <f>IF(ISNA(VLOOKUP(B102,Shortlist_xref!$A$5:$B$77,2,FALSE))=TRUE,"-",VLOOKUP(B102,Shortlist_xref!$A$5:$B$77,2,FALSE))</f>
        <v>C-E</v>
      </c>
      <c r="B102" s="3" t="s">
        <v>60</v>
      </c>
      <c r="C102" s="4" t="s">
        <v>58</v>
      </c>
      <c r="D102" s="5" t="s">
        <v>61</v>
      </c>
      <c r="E102" s="6" t="s">
        <v>53</v>
      </c>
      <c r="F102" s="7">
        <v>0.1</v>
      </c>
      <c r="G102" s="8">
        <v>0.84499999999999997</v>
      </c>
      <c r="H102" s="9">
        <v>300</v>
      </c>
      <c r="I102" s="10">
        <v>8.7159510035642705E-5</v>
      </c>
      <c r="J102" s="11">
        <v>11.110810915004089</v>
      </c>
      <c r="K102" s="12"/>
      <c r="L102" s="12" t="s">
        <v>546</v>
      </c>
      <c r="M102" s="193" t="s">
        <v>547</v>
      </c>
      <c r="N102" s="193" t="s">
        <v>381</v>
      </c>
      <c r="O102" s="173" t="s">
        <v>1171</v>
      </c>
      <c r="P102" s="173" t="s">
        <v>1171</v>
      </c>
      <c r="Q102" s="173" t="s">
        <v>1171</v>
      </c>
      <c r="R102" s="173" t="s">
        <v>1172</v>
      </c>
      <c r="S102" s="173" t="s">
        <v>1172</v>
      </c>
      <c r="T102" s="151" t="b">
        <v>1</v>
      </c>
      <c r="U102" s="188" t="str">
        <f t="shared" si="2"/>
        <v>P - 101VOC</v>
      </c>
      <c r="V102" s="192">
        <f t="shared" si="3"/>
        <v>300</v>
      </c>
      <c r="X102" s="42"/>
      <c r="Y102" s="42"/>
      <c r="Z102" s="42"/>
      <c r="AA102" s="43"/>
      <c r="AB102" s="150"/>
    </row>
    <row r="103" spans="1:28" ht="24.2" x14ac:dyDescent="0.3">
      <c r="A103" s="51" t="str">
        <f>IF(ISNA(VLOOKUP(B103,Shortlist_xref!$A$5:$B$77,2,FALSE))=TRUE,"-",VLOOKUP(B103,Shortlist_xref!$A$5:$B$77,2,FALSE))</f>
        <v>-</v>
      </c>
      <c r="B103" s="3" t="s">
        <v>548</v>
      </c>
      <c r="C103" s="4" t="s">
        <v>549</v>
      </c>
      <c r="D103" s="5" t="s">
        <v>550</v>
      </c>
      <c r="E103" s="6" t="s">
        <v>53</v>
      </c>
      <c r="F103" s="7">
        <v>0.1</v>
      </c>
      <c r="G103" s="8">
        <v>0.98499999999999999</v>
      </c>
      <c r="H103" s="9" t="s">
        <v>411</v>
      </c>
      <c r="I103" s="10">
        <v>1.9873971163410376E-3</v>
      </c>
      <c r="J103" s="11">
        <v>295.32155972552135</v>
      </c>
      <c r="K103" s="12"/>
      <c r="L103" s="12" t="s">
        <v>551</v>
      </c>
      <c r="M103" s="193" t="s">
        <v>552</v>
      </c>
      <c r="N103" s="193" t="s">
        <v>381</v>
      </c>
      <c r="O103" s="173" t="s">
        <v>1171</v>
      </c>
      <c r="P103" s="173" t="s">
        <v>1171</v>
      </c>
      <c r="Q103" s="173" t="s">
        <v>1171</v>
      </c>
      <c r="R103" s="173" t="s">
        <v>1172</v>
      </c>
      <c r="S103" s="173" t="s">
        <v>1172</v>
      </c>
      <c r="T103" s="151" t="b">
        <v>1</v>
      </c>
      <c r="U103" s="188" t="str">
        <f t="shared" si="2"/>
        <v>P - 102VOC</v>
      </c>
      <c r="V103" s="192" t="str">
        <f t="shared" si="3"/>
        <v>N/A</v>
      </c>
      <c r="X103" s="42"/>
      <c r="Y103" s="42"/>
      <c r="Z103" s="42"/>
      <c r="AA103" s="43"/>
      <c r="AB103" s="150"/>
    </row>
    <row r="104" spans="1:28" ht="24.2" x14ac:dyDescent="0.3">
      <c r="A104" s="51" t="str">
        <f>IF(ISNA(VLOOKUP(B104,Shortlist_xref!$A$5:$B$77,2,FALSE))=TRUE,"-",VLOOKUP(B104,Shortlist_xref!$A$5:$B$77,2,FALSE))</f>
        <v>-</v>
      </c>
      <c r="B104" s="3" t="s">
        <v>553</v>
      </c>
      <c r="C104" s="4" t="s">
        <v>554</v>
      </c>
      <c r="D104" s="5" t="s">
        <v>555</v>
      </c>
      <c r="E104" s="6" t="s">
        <v>53</v>
      </c>
      <c r="F104" s="7" t="s">
        <v>37</v>
      </c>
      <c r="G104" s="8" t="s">
        <v>37</v>
      </c>
      <c r="H104" s="9" t="s">
        <v>411</v>
      </c>
      <c r="I104" s="10">
        <v>1.1887699413062336E-3</v>
      </c>
      <c r="J104" s="11" t="s">
        <v>37</v>
      </c>
      <c r="K104" s="12"/>
      <c r="L104" s="12" t="s">
        <v>551</v>
      </c>
      <c r="M104" s="193" t="s">
        <v>552</v>
      </c>
      <c r="N104" s="193" t="s">
        <v>381</v>
      </c>
      <c r="O104" s="173" t="s">
        <v>1171</v>
      </c>
      <c r="P104" s="173" t="s">
        <v>1171</v>
      </c>
      <c r="Q104" s="173" t="s">
        <v>1171</v>
      </c>
      <c r="R104" s="173" t="s">
        <v>1172</v>
      </c>
      <c r="S104" s="173" t="s">
        <v>1171</v>
      </c>
      <c r="T104" s="151" t="b">
        <v>1</v>
      </c>
      <c r="U104" s="188" t="str">
        <f t="shared" si="2"/>
        <v>P - 103VOC</v>
      </c>
      <c r="V104" s="192" t="str">
        <f t="shared" si="3"/>
        <v>N/A</v>
      </c>
      <c r="X104" s="42"/>
      <c r="Y104" s="42"/>
      <c r="Z104" s="42"/>
      <c r="AA104" s="43"/>
      <c r="AB104" s="150"/>
    </row>
    <row r="105" spans="1:28" ht="24.2" x14ac:dyDescent="0.3">
      <c r="A105" s="51" t="str">
        <f>IF(ISNA(VLOOKUP(B105,Shortlist_xref!$A$5:$B$77,2,FALSE))=TRUE,"-",VLOOKUP(B105,Shortlist_xref!$A$5:$B$77,2,FALSE))</f>
        <v>-</v>
      </c>
      <c r="B105" s="3" t="s">
        <v>556</v>
      </c>
      <c r="C105" s="4" t="s">
        <v>554</v>
      </c>
      <c r="D105" s="5" t="s">
        <v>557</v>
      </c>
      <c r="E105" s="6" t="s">
        <v>53</v>
      </c>
      <c r="F105" s="7" t="s">
        <v>37</v>
      </c>
      <c r="G105" s="8" t="s">
        <v>37</v>
      </c>
      <c r="H105" s="9">
        <v>4500</v>
      </c>
      <c r="I105" s="10">
        <v>1.1887699413062336E-3</v>
      </c>
      <c r="J105" s="11" t="s">
        <v>37</v>
      </c>
      <c r="K105" s="12"/>
      <c r="L105" s="12" t="s">
        <v>424</v>
      </c>
      <c r="M105" s="193" t="s">
        <v>425</v>
      </c>
      <c r="N105" s="193" t="s">
        <v>381</v>
      </c>
      <c r="O105" s="173" t="s">
        <v>1171</v>
      </c>
      <c r="P105" s="173" t="s">
        <v>1171</v>
      </c>
      <c r="Q105" s="173" t="s">
        <v>1171</v>
      </c>
      <c r="R105" s="173" t="s">
        <v>1172</v>
      </c>
      <c r="S105" s="173" t="s">
        <v>1171</v>
      </c>
      <c r="T105" s="151" t="b">
        <v>1</v>
      </c>
      <c r="U105" s="188" t="str">
        <f t="shared" si="2"/>
        <v>P - 104VOC</v>
      </c>
      <c r="V105" s="192">
        <f t="shared" si="3"/>
        <v>4500</v>
      </c>
      <c r="X105" s="42"/>
      <c r="Y105" s="42"/>
      <c r="Z105" s="42"/>
      <c r="AA105" s="43"/>
      <c r="AB105" s="150"/>
    </row>
    <row r="106" spans="1:28" ht="60.5" x14ac:dyDescent="0.3">
      <c r="A106" s="51" t="str">
        <f>IF(ISNA(VLOOKUP(B106,Shortlist_xref!$A$5:$B$77,2,FALSE))=TRUE,"-",VLOOKUP(B106,Shortlist_xref!$A$5:$B$77,2,FALSE))</f>
        <v>-</v>
      </c>
      <c r="B106" s="3" t="s">
        <v>558</v>
      </c>
      <c r="C106" s="4" t="s">
        <v>559</v>
      </c>
      <c r="D106" s="5" t="s">
        <v>560</v>
      </c>
      <c r="E106" s="6" t="s">
        <v>53</v>
      </c>
      <c r="F106" s="7" t="s">
        <v>37</v>
      </c>
      <c r="G106" s="8" t="s">
        <v>37</v>
      </c>
      <c r="H106" s="9" t="s">
        <v>411</v>
      </c>
      <c r="I106" s="10">
        <v>1.9873971163410376E-3</v>
      </c>
      <c r="J106" s="11" t="s">
        <v>37</v>
      </c>
      <c r="K106" s="12"/>
      <c r="L106" s="12" t="s">
        <v>551</v>
      </c>
      <c r="M106" s="193" t="s">
        <v>552</v>
      </c>
      <c r="N106" s="193" t="s">
        <v>381</v>
      </c>
      <c r="O106" s="173" t="s">
        <v>1171</v>
      </c>
      <c r="P106" s="173" t="s">
        <v>1171</v>
      </c>
      <c r="Q106" s="173" t="s">
        <v>1171</v>
      </c>
      <c r="R106" s="173" t="s">
        <v>1172</v>
      </c>
      <c r="S106" s="173" t="s">
        <v>1171</v>
      </c>
      <c r="T106" s="151" t="b">
        <v>1</v>
      </c>
      <c r="U106" s="188" t="str">
        <f t="shared" si="2"/>
        <v>P - 105VOC</v>
      </c>
      <c r="V106" s="192" t="str">
        <f t="shared" si="3"/>
        <v>N/A</v>
      </c>
      <c r="X106" s="42"/>
      <c r="Y106" s="42"/>
      <c r="Z106" s="42"/>
      <c r="AA106" s="43"/>
      <c r="AB106" s="150"/>
    </row>
    <row r="107" spans="1:28" ht="24.2" x14ac:dyDescent="0.3">
      <c r="A107" s="51" t="str">
        <f>IF(ISNA(VLOOKUP(B107,Shortlist_xref!$A$5:$B$77,2,FALSE))=TRUE,"-",VLOOKUP(B107,Shortlist_xref!$A$5:$B$77,2,FALSE))</f>
        <v>-</v>
      </c>
      <c r="B107" s="3" t="s">
        <v>561</v>
      </c>
      <c r="C107" s="4" t="s">
        <v>559</v>
      </c>
      <c r="D107" s="5" t="s">
        <v>562</v>
      </c>
      <c r="E107" s="6" t="s">
        <v>53</v>
      </c>
      <c r="F107" s="7" t="s">
        <v>37</v>
      </c>
      <c r="G107" s="8" t="s">
        <v>37</v>
      </c>
      <c r="H107" s="9" t="s">
        <v>411</v>
      </c>
      <c r="I107" s="10">
        <v>1.9873971163410376E-3</v>
      </c>
      <c r="J107" s="11" t="s">
        <v>37</v>
      </c>
      <c r="K107" s="12"/>
      <c r="L107" s="12" t="s">
        <v>551</v>
      </c>
      <c r="M107" s="193" t="s">
        <v>552</v>
      </c>
      <c r="N107" s="193" t="s">
        <v>381</v>
      </c>
      <c r="O107" s="173" t="s">
        <v>1171</v>
      </c>
      <c r="P107" s="173" t="s">
        <v>1171</v>
      </c>
      <c r="Q107" s="173" t="s">
        <v>1171</v>
      </c>
      <c r="R107" s="173" t="s">
        <v>1172</v>
      </c>
      <c r="S107" s="173" t="s">
        <v>1171</v>
      </c>
      <c r="T107" s="151" t="b">
        <v>1</v>
      </c>
      <c r="U107" s="188" t="str">
        <f t="shared" si="2"/>
        <v>P - 106VOC</v>
      </c>
      <c r="V107" s="192" t="str">
        <f t="shared" si="3"/>
        <v>N/A</v>
      </c>
      <c r="X107" s="42"/>
      <c r="Y107" s="42"/>
      <c r="Z107" s="42"/>
      <c r="AA107" s="43"/>
      <c r="AB107" s="150"/>
    </row>
    <row r="108" spans="1:28" ht="24.2" x14ac:dyDescent="0.3">
      <c r="A108" s="51" t="str">
        <f>IF(ISNA(VLOOKUP(B108,Shortlist_xref!$A$5:$B$77,2,FALSE))=TRUE,"-",VLOOKUP(B108,Shortlist_xref!$A$5:$B$77,2,FALSE))</f>
        <v>-</v>
      </c>
      <c r="B108" s="3" t="s">
        <v>563</v>
      </c>
      <c r="C108" s="4" t="s">
        <v>564</v>
      </c>
      <c r="D108" s="5" t="s">
        <v>565</v>
      </c>
      <c r="E108" s="6" t="s">
        <v>53</v>
      </c>
      <c r="F108" s="7" t="s">
        <v>37</v>
      </c>
      <c r="G108" s="8" t="s">
        <v>37</v>
      </c>
      <c r="H108" s="9" t="s">
        <v>411</v>
      </c>
      <c r="I108" s="10">
        <v>6.5244765891994628E-5</v>
      </c>
      <c r="J108" s="11" t="s">
        <v>37</v>
      </c>
      <c r="K108" s="12"/>
      <c r="L108" s="12" t="s">
        <v>566</v>
      </c>
      <c r="M108" s="193" t="s">
        <v>567</v>
      </c>
      <c r="N108" s="193" t="s">
        <v>381</v>
      </c>
      <c r="O108" s="173" t="s">
        <v>1171</v>
      </c>
      <c r="P108" s="173" t="s">
        <v>1171</v>
      </c>
      <c r="Q108" s="173" t="s">
        <v>1171</v>
      </c>
      <c r="R108" s="173" t="s">
        <v>1171</v>
      </c>
      <c r="S108" s="173" t="s">
        <v>1171</v>
      </c>
      <c r="T108" s="151" t="b">
        <v>1</v>
      </c>
      <c r="U108" s="188" t="str">
        <f t="shared" si="2"/>
        <v>P - 107VOC</v>
      </c>
      <c r="V108" s="192" t="str">
        <f t="shared" si="3"/>
        <v>N/A</v>
      </c>
      <c r="X108" s="42"/>
      <c r="Y108" s="42"/>
      <c r="Z108" s="42"/>
      <c r="AA108" s="43"/>
      <c r="AB108" s="150"/>
    </row>
    <row r="109" spans="1:28" ht="24.2" x14ac:dyDescent="0.3">
      <c r="A109" s="51" t="str">
        <f>IF(ISNA(VLOOKUP(B109,Shortlist_xref!$A$5:$B$77,2,FALSE))=TRUE,"-",VLOOKUP(B109,Shortlist_xref!$A$5:$B$77,2,FALSE))</f>
        <v>-</v>
      </c>
      <c r="B109" s="3" t="s">
        <v>568</v>
      </c>
      <c r="C109" s="4" t="s">
        <v>569</v>
      </c>
      <c r="D109" s="5" t="s">
        <v>570</v>
      </c>
      <c r="E109" s="6" t="s">
        <v>12</v>
      </c>
      <c r="F109" s="7" t="s">
        <v>37</v>
      </c>
      <c r="G109" s="8" t="s">
        <v>37</v>
      </c>
      <c r="H109" s="9">
        <v>20000</v>
      </c>
      <c r="I109" s="10">
        <v>1.7188195255958805E-3</v>
      </c>
      <c r="J109" s="11" t="s">
        <v>37</v>
      </c>
      <c r="K109" s="12"/>
      <c r="L109" s="12" t="s">
        <v>424</v>
      </c>
      <c r="M109" s="193" t="s">
        <v>571</v>
      </c>
      <c r="N109" s="193" t="s">
        <v>381</v>
      </c>
      <c r="O109" s="173" t="s">
        <v>1171</v>
      </c>
      <c r="P109" s="173" t="s">
        <v>1171</v>
      </c>
      <c r="Q109" s="173" t="s">
        <v>1171</v>
      </c>
      <c r="R109" s="173" t="s">
        <v>1172</v>
      </c>
      <c r="S109" s="173" t="s">
        <v>1171</v>
      </c>
      <c r="T109" s="151" t="b">
        <v>1</v>
      </c>
      <c r="U109" s="188" t="str">
        <f t="shared" si="2"/>
        <v>P - 108NOx</v>
      </c>
      <c r="V109" s="192">
        <f t="shared" si="3"/>
        <v>20000</v>
      </c>
      <c r="X109" s="42"/>
      <c r="Y109" s="42"/>
      <c r="Z109" s="42"/>
      <c r="AA109" s="43"/>
      <c r="AB109" s="150"/>
    </row>
    <row r="110" spans="1:28" ht="48.4" x14ac:dyDescent="0.3">
      <c r="A110" s="51" t="str">
        <f>IF(ISNA(VLOOKUP(B110,Shortlist_xref!$A$5:$B$77,2,FALSE))=TRUE,"-",VLOOKUP(B110,Shortlist_xref!$A$5:$B$77,2,FALSE))</f>
        <v>-</v>
      </c>
      <c r="B110" s="3" t="s">
        <v>572</v>
      </c>
      <c r="C110" s="4" t="s">
        <v>573</v>
      </c>
      <c r="D110" s="5" t="s">
        <v>574</v>
      </c>
      <c r="E110" s="6" t="s">
        <v>53</v>
      </c>
      <c r="F110" s="7" t="s">
        <v>37</v>
      </c>
      <c r="G110" s="8" t="s">
        <v>37</v>
      </c>
      <c r="H110" s="9">
        <v>2000</v>
      </c>
      <c r="I110" s="10">
        <v>1.4492375381087493E-3</v>
      </c>
      <c r="J110" s="11" t="s">
        <v>37</v>
      </c>
      <c r="K110" s="12"/>
      <c r="L110" s="12" t="s">
        <v>551</v>
      </c>
      <c r="M110" s="193" t="s">
        <v>552</v>
      </c>
      <c r="N110" s="193" t="s">
        <v>381</v>
      </c>
      <c r="O110" s="173" t="s">
        <v>1171</v>
      </c>
      <c r="P110" s="173" t="s">
        <v>1171</v>
      </c>
      <c r="Q110" s="173" t="s">
        <v>1171</v>
      </c>
      <c r="R110" s="173" t="s">
        <v>1171</v>
      </c>
      <c r="S110" s="173" t="s">
        <v>1171</v>
      </c>
      <c r="T110" s="151" t="b">
        <v>1</v>
      </c>
      <c r="U110" s="188" t="str">
        <f t="shared" si="2"/>
        <v>P - 109VOC</v>
      </c>
      <c r="V110" s="192">
        <f t="shared" si="3"/>
        <v>2000</v>
      </c>
      <c r="X110" s="42"/>
      <c r="Y110" s="42"/>
      <c r="Z110" s="42"/>
      <c r="AA110" s="43"/>
      <c r="AB110" s="150"/>
    </row>
    <row r="111" spans="1:28" ht="34.85" customHeight="1" x14ac:dyDescent="0.3">
      <c r="A111" s="51" t="str">
        <f>IF(ISNA(VLOOKUP(B111,Shortlist_xref!$A$5:$B$77,2,FALSE))=TRUE,"-",VLOOKUP(B111,Shortlist_xref!$A$5:$B$77,2,FALSE))</f>
        <v>-</v>
      </c>
      <c r="B111" s="3" t="s">
        <v>575</v>
      </c>
      <c r="C111" s="4" t="s">
        <v>573</v>
      </c>
      <c r="D111" s="5" t="s">
        <v>576</v>
      </c>
      <c r="E111" s="6" t="s">
        <v>53</v>
      </c>
      <c r="F111" s="7" t="s">
        <v>37</v>
      </c>
      <c r="G111" s="8" t="s">
        <v>37</v>
      </c>
      <c r="H111" s="9" t="s">
        <v>411</v>
      </c>
      <c r="I111" s="10">
        <v>1.4492375381087493E-3</v>
      </c>
      <c r="J111" s="11" t="s">
        <v>37</v>
      </c>
      <c r="K111" s="12"/>
      <c r="L111" s="12" t="s">
        <v>551</v>
      </c>
      <c r="M111" s="193" t="s">
        <v>552</v>
      </c>
      <c r="N111" s="193" t="s">
        <v>381</v>
      </c>
      <c r="O111" s="173" t="s">
        <v>1171</v>
      </c>
      <c r="P111" s="173" t="s">
        <v>1171</v>
      </c>
      <c r="Q111" s="173" t="s">
        <v>1171</v>
      </c>
      <c r="R111" s="173" t="s">
        <v>1171</v>
      </c>
      <c r="S111" s="173" t="s">
        <v>1171</v>
      </c>
      <c r="T111" s="151" t="b">
        <v>1</v>
      </c>
      <c r="U111" s="188" t="str">
        <f t="shared" si="2"/>
        <v>P - 110VOC</v>
      </c>
      <c r="V111" s="192" t="str">
        <f t="shared" si="3"/>
        <v>N/A</v>
      </c>
      <c r="X111" s="42"/>
      <c r="Y111" s="42"/>
      <c r="Z111" s="42"/>
      <c r="AA111" s="43"/>
      <c r="AB111" s="150"/>
    </row>
    <row r="112" spans="1:28" ht="24.2" x14ac:dyDescent="0.3">
      <c r="A112" s="51" t="str">
        <f>IF(ISNA(VLOOKUP(B112,Shortlist_xref!$A$5:$B$77,2,FALSE))=TRUE,"-",VLOOKUP(B112,Shortlist_xref!$A$5:$B$77,2,FALSE))</f>
        <v>-</v>
      </c>
      <c r="B112" s="3" t="s">
        <v>577</v>
      </c>
      <c r="C112" s="4" t="s">
        <v>573</v>
      </c>
      <c r="D112" s="5" t="s">
        <v>578</v>
      </c>
      <c r="E112" s="6" t="s">
        <v>53</v>
      </c>
      <c r="F112" s="7" t="s">
        <v>37</v>
      </c>
      <c r="G112" s="8" t="s">
        <v>37</v>
      </c>
      <c r="H112" s="9">
        <v>4500</v>
      </c>
      <c r="I112" s="10">
        <v>1.4492375381087493E-3</v>
      </c>
      <c r="J112" s="11" t="s">
        <v>37</v>
      </c>
      <c r="K112" s="12"/>
      <c r="L112" s="12" t="s">
        <v>424</v>
      </c>
      <c r="M112" s="193" t="s">
        <v>425</v>
      </c>
      <c r="N112" s="193" t="s">
        <v>381</v>
      </c>
      <c r="O112" s="173" t="s">
        <v>1171</v>
      </c>
      <c r="P112" s="173" t="s">
        <v>1171</v>
      </c>
      <c r="Q112" s="173" t="s">
        <v>1171</v>
      </c>
      <c r="R112" s="173" t="s">
        <v>1171</v>
      </c>
      <c r="S112" s="173" t="s">
        <v>1171</v>
      </c>
      <c r="T112" s="151" t="b">
        <v>1</v>
      </c>
      <c r="U112" s="188" t="str">
        <f t="shared" si="2"/>
        <v>P - 111VOC</v>
      </c>
      <c r="V112" s="192">
        <f t="shared" si="3"/>
        <v>4500</v>
      </c>
      <c r="X112" s="42"/>
      <c r="Y112" s="42"/>
      <c r="Z112" s="42"/>
      <c r="AA112" s="43"/>
      <c r="AB112" s="150"/>
    </row>
    <row r="113" spans="1:28" ht="45.5" customHeight="1" x14ac:dyDescent="0.3">
      <c r="A113" s="51" t="str">
        <f>IF(ISNA(VLOOKUP(B113,Shortlist_xref!$A$5:$B$77,2,FALSE))=TRUE,"-",VLOOKUP(B113,Shortlist_xref!$A$5:$B$77,2,FALSE))</f>
        <v>-</v>
      </c>
      <c r="B113" s="3" t="s">
        <v>579</v>
      </c>
      <c r="C113" s="4" t="s">
        <v>573</v>
      </c>
      <c r="D113" s="5" t="s">
        <v>357</v>
      </c>
      <c r="E113" s="6" t="s">
        <v>53</v>
      </c>
      <c r="F113" s="7" t="s">
        <v>37</v>
      </c>
      <c r="G113" s="8" t="s">
        <v>37</v>
      </c>
      <c r="H113" s="9" t="s">
        <v>37</v>
      </c>
      <c r="I113" s="10" t="s">
        <v>37</v>
      </c>
      <c r="J113" s="11" t="s">
        <v>37</v>
      </c>
      <c r="K113" s="12" t="s">
        <v>580</v>
      </c>
      <c r="L113" s="12" t="s">
        <v>424</v>
      </c>
      <c r="M113" s="193" t="s">
        <v>425</v>
      </c>
      <c r="N113" s="194" t="s">
        <v>381</v>
      </c>
      <c r="O113" s="173" t="s">
        <v>1171</v>
      </c>
      <c r="P113" s="173" t="s">
        <v>1171</v>
      </c>
      <c r="Q113" s="173" t="s">
        <v>1172</v>
      </c>
      <c r="R113" s="173" t="s">
        <v>1172</v>
      </c>
      <c r="S113" s="173" t="s">
        <v>1171</v>
      </c>
      <c r="T113" s="151" t="b">
        <v>1</v>
      </c>
      <c r="U113" s="188" t="str">
        <f t="shared" si="2"/>
        <v>P - 112VOC</v>
      </c>
      <c r="V113" s="192" t="str">
        <f t="shared" si="3"/>
        <v>NA</v>
      </c>
      <c r="X113" s="42"/>
      <c r="Y113" s="42"/>
      <c r="Z113" s="42"/>
      <c r="AA113" s="43"/>
      <c r="AB113" s="150"/>
    </row>
    <row r="114" spans="1:28" ht="45.5" customHeight="1" x14ac:dyDescent="0.3">
      <c r="A114" s="51" t="str">
        <f>IF(ISNA(VLOOKUP(B114,Shortlist_xref!$A$5:$B$77,2,FALSE))=TRUE,"-",VLOOKUP(B114,Shortlist_xref!$A$5:$B$77,2,FALSE))</f>
        <v>-</v>
      </c>
      <c r="B114" s="3" t="s">
        <v>581</v>
      </c>
      <c r="C114" s="4" t="s">
        <v>582</v>
      </c>
      <c r="D114" s="5" t="s">
        <v>583</v>
      </c>
      <c r="E114" s="6" t="s">
        <v>12</v>
      </c>
      <c r="F114" s="7" t="s">
        <v>37</v>
      </c>
      <c r="G114" s="8" t="s">
        <v>37</v>
      </c>
      <c r="H114" s="9" t="s">
        <v>37</v>
      </c>
      <c r="I114" s="10">
        <v>0.1533948465544239</v>
      </c>
      <c r="J114" s="11" t="s">
        <v>37</v>
      </c>
      <c r="K114" s="12"/>
      <c r="L114" s="12" t="s">
        <v>584</v>
      </c>
      <c r="M114" s="193" t="s">
        <v>585</v>
      </c>
      <c r="N114" s="193" t="s">
        <v>381</v>
      </c>
      <c r="O114" s="173" t="s">
        <v>1171</v>
      </c>
      <c r="P114" s="173" t="s">
        <v>1171</v>
      </c>
      <c r="Q114" s="173" t="s">
        <v>1171</v>
      </c>
      <c r="R114" s="173" t="s">
        <v>1171</v>
      </c>
      <c r="S114" s="173" t="s">
        <v>1171</v>
      </c>
      <c r="T114" s="151" t="b">
        <v>1</v>
      </c>
      <c r="U114" s="188" t="str">
        <f t="shared" si="2"/>
        <v>P-113NOx</v>
      </c>
      <c r="V114" s="192" t="str">
        <f t="shared" si="3"/>
        <v>NA</v>
      </c>
      <c r="X114" s="42"/>
      <c r="Y114" s="42"/>
      <c r="Z114" s="42"/>
      <c r="AA114" s="43"/>
      <c r="AB114" s="150"/>
    </row>
    <row r="115" spans="1:28" x14ac:dyDescent="0.3">
      <c r="E115"/>
      <c r="F115"/>
      <c r="G115"/>
      <c r="H115"/>
      <c r="J115"/>
      <c r="U115" s="188" t="str">
        <f t="shared" si="2"/>
        <v/>
      </c>
      <c r="V115" s="192">
        <f t="shared" si="3"/>
        <v>0</v>
      </c>
      <c r="X115" s="42"/>
      <c r="Y115" s="42"/>
      <c r="Z115" s="42"/>
      <c r="AA115" s="43"/>
      <c r="AB115" s="150"/>
    </row>
    <row r="116" spans="1:28" x14ac:dyDescent="0.3">
      <c r="B116" t="s">
        <v>62</v>
      </c>
      <c r="I116" s="14"/>
      <c r="J116" s="14"/>
      <c r="K116" s="14"/>
      <c r="L116" s="14"/>
      <c r="O116" t="s">
        <v>301</v>
      </c>
      <c r="U116" s="188" t="str">
        <f t="shared" si="2"/>
        <v>Notes</v>
      </c>
      <c r="V116" s="192">
        <f t="shared" si="3"/>
        <v>0</v>
      </c>
    </row>
    <row r="117" spans="1:28" x14ac:dyDescent="0.3">
      <c r="B117" t="s">
        <v>63</v>
      </c>
      <c r="I117" s="14"/>
      <c r="J117" s="14"/>
      <c r="K117" s="14"/>
      <c r="L117" s="14"/>
      <c r="O117" t="s">
        <v>301</v>
      </c>
      <c r="U117" s="188" t="str">
        <f t="shared" si="2"/>
        <v>[1] Values presented here may represent averages from range of estimates. This averages are used for the purpose of screening and ranking potential measures. Detailed values will be used in final measures short-list</v>
      </c>
      <c r="V117" s="192">
        <f t="shared" si="3"/>
        <v>0</v>
      </c>
    </row>
    <row r="118" spans="1:28" x14ac:dyDescent="0.3">
      <c r="B118" t="s">
        <v>64</v>
      </c>
      <c r="I118" s="14"/>
      <c r="J118" s="14"/>
      <c r="K118" s="14"/>
      <c r="L118" s="14"/>
      <c r="O118" t="s">
        <v>301</v>
      </c>
      <c r="U118" s="188" t="str">
        <f t="shared" si="2"/>
        <v>[2] Penetration will vary from program to program and information not available. Assumed 10% as easily scalable value</v>
      </c>
      <c r="V118" s="192">
        <f t="shared" si="3"/>
        <v>0</v>
      </c>
    </row>
    <row r="119" spans="1:28" x14ac:dyDescent="0.3">
      <c r="B119" s="106" t="s">
        <v>283</v>
      </c>
      <c r="C119" s="106" t="s">
        <v>300</v>
      </c>
      <c r="D119" s="120"/>
      <c r="E119" s="142"/>
      <c r="I119" s="14"/>
      <c r="J119" s="14"/>
      <c r="K119" s="14"/>
      <c r="L119" s="14"/>
      <c r="O119" t="s">
        <v>301</v>
      </c>
      <c r="U119" s="188" t="str">
        <f t="shared" si="2"/>
        <v>[3]</v>
      </c>
      <c r="V119" s="192">
        <f t="shared" si="3"/>
        <v>0</v>
      </c>
    </row>
    <row r="120" spans="1:28" x14ac:dyDescent="0.3">
      <c r="B120" s="106"/>
      <c r="C120" s="107" t="s">
        <v>281</v>
      </c>
      <c r="D120" s="106"/>
      <c r="E120" s="142"/>
      <c r="I120" s="14"/>
      <c r="J120" s="14"/>
      <c r="K120" s="14"/>
      <c r="L120" s="14"/>
      <c r="O120" t="s">
        <v>301</v>
      </c>
      <c r="U120" s="188" t="str">
        <f t="shared" si="2"/>
        <v/>
      </c>
      <c r="V120" s="192">
        <f t="shared" si="3"/>
        <v>0</v>
      </c>
    </row>
    <row r="121" spans="1:28" x14ac:dyDescent="0.3">
      <c r="B121" s="106"/>
      <c r="C121" s="106"/>
      <c r="D121" s="106"/>
      <c r="E121" s="142"/>
      <c r="I121" s="14"/>
      <c r="J121" s="14"/>
      <c r="K121" s="14"/>
      <c r="L121" s="14"/>
    </row>
    <row r="122" spans="1:28" x14ac:dyDescent="0.3">
      <c r="B122" s="106"/>
      <c r="C122" s="106"/>
      <c r="D122" s="106"/>
      <c r="E122" s="142"/>
      <c r="I122" s="14"/>
      <c r="J122" s="14"/>
      <c r="K122" s="14"/>
      <c r="L122" s="14"/>
    </row>
  </sheetData>
  <autoFilter ref="A1:L120" xr:uid="{764A7B3E-FBF2-44E2-A077-B7CC7E5467DB}"/>
  <conditionalFormatting sqref="E2:J114">
    <cfRule type="cellIs" dxfId="0" priority="7" operator="notEqual">
      <formula>"NA"</formula>
    </cfRule>
  </conditionalFormatting>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D846B5-630D-49F9-9980-B4AFFC955488}">
  <sheetPr>
    <tabColor theme="1"/>
  </sheetPr>
  <dimension ref="A1:X135"/>
  <sheetViews>
    <sheetView zoomScale="85" zoomScaleNormal="85" workbookViewId="0">
      <pane ySplit="2" topLeftCell="A3" activePane="bottomLeft" state="frozen"/>
      <selection activeCell="H18" activeCellId="1" sqref="N6 H18"/>
      <selection pane="bottomLeft" sqref="A1:XFD1048576"/>
    </sheetView>
  </sheetViews>
  <sheetFormatPr defaultRowHeight="14.4" x14ac:dyDescent="0.3"/>
  <cols>
    <col min="3" max="3" width="23.8984375" customWidth="1"/>
    <col min="4" max="4" width="27.69921875" customWidth="1"/>
    <col min="6" max="6" width="12.3984375" customWidth="1"/>
    <col min="7" max="11" width="11" customWidth="1"/>
    <col min="12" max="16" width="15.09765625" customWidth="1"/>
    <col min="17" max="17" width="15" customWidth="1"/>
    <col min="18" max="24" width="0" hidden="1" customWidth="1"/>
  </cols>
  <sheetData>
    <row r="1" spans="1:24" ht="42.05" customHeight="1" x14ac:dyDescent="0.3">
      <c r="A1" s="207" t="s">
        <v>238</v>
      </c>
      <c r="B1" s="206" t="s">
        <v>65</v>
      </c>
      <c r="C1" s="206" t="s">
        <v>1</v>
      </c>
      <c r="D1" s="206" t="s">
        <v>2</v>
      </c>
      <c r="E1" s="206" t="s">
        <v>66</v>
      </c>
      <c r="F1" s="206" t="s">
        <v>220</v>
      </c>
      <c r="G1" s="206"/>
      <c r="H1" s="206"/>
      <c r="I1" s="206"/>
      <c r="J1" s="206"/>
      <c r="K1" s="206"/>
      <c r="L1" s="203" t="s">
        <v>275</v>
      </c>
      <c r="M1" s="203"/>
      <c r="N1" s="203"/>
      <c r="O1" s="203"/>
      <c r="P1" s="203"/>
      <c r="Q1" s="203"/>
      <c r="R1" t="s">
        <v>67</v>
      </c>
      <c r="S1" t="s">
        <v>68</v>
      </c>
      <c r="T1" t="s">
        <v>69</v>
      </c>
      <c r="U1" t="s">
        <v>70</v>
      </c>
      <c r="V1" t="s">
        <v>71</v>
      </c>
      <c r="W1" t="s">
        <v>72</v>
      </c>
    </row>
    <row r="2" spans="1:24" x14ac:dyDescent="0.3">
      <c r="A2" s="208"/>
      <c r="B2" s="209"/>
      <c r="C2" s="209"/>
      <c r="D2" s="209"/>
      <c r="E2" s="209"/>
      <c r="F2" s="16" t="s">
        <v>67</v>
      </c>
      <c r="G2" s="16" t="s">
        <v>68</v>
      </c>
      <c r="H2" s="16" t="s">
        <v>69</v>
      </c>
      <c r="I2" s="16" t="s">
        <v>70</v>
      </c>
      <c r="J2" s="16" t="s">
        <v>71</v>
      </c>
      <c r="K2" s="16" t="s">
        <v>72</v>
      </c>
      <c r="L2" s="16" t="s">
        <v>67</v>
      </c>
      <c r="M2" s="16" t="s">
        <v>68</v>
      </c>
      <c r="N2" s="16" t="s">
        <v>69</v>
      </c>
      <c r="O2" s="16" t="s">
        <v>70</v>
      </c>
      <c r="P2" s="16" t="s">
        <v>71</v>
      </c>
      <c r="Q2" s="16" t="s">
        <v>72</v>
      </c>
      <c r="R2" s="96" t="s">
        <v>266</v>
      </c>
      <c r="S2" s="96" t="s">
        <v>267</v>
      </c>
      <c r="T2" s="96" t="s">
        <v>268</v>
      </c>
      <c r="U2" s="96" t="s">
        <v>269</v>
      </c>
      <c r="V2" s="96" t="s">
        <v>270</v>
      </c>
      <c r="W2" s="96" t="s">
        <v>271</v>
      </c>
    </row>
    <row r="3" spans="1:24" s="18" customFormat="1" ht="121.25" customHeight="1" x14ac:dyDescent="0.25">
      <c r="A3" s="51" t="str">
        <f>IF(ISNA(VLOOKUP(B3,Shortlist_xref!$A$5:$B$77,2,FALSE))=TRUE,"-",VLOOKUP(B3,Shortlist_xref!$A$5:$B$77,2,FALSE))</f>
        <v>EmissRed</v>
      </c>
      <c r="B3" s="3" t="s">
        <v>9</v>
      </c>
      <c r="C3" s="5" t="s">
        <v>10</v>
      </c>
      <c r="D3" s="5" t="s">
        <v>11</v>
      </c>
      <c r="E3" s="12" t="s">
        <v>12</v>
      </c>
      <c r="F3" s="17">
        <v>241.1366943992</v>
      </c>
      <c r="G3" s="17">
        <v>1205.0826336040002</v>
      </c>
      <c r="H3" s="17">
        <v>5.8900000000000006</v>
      </c>
      <c r="I3" s="17">
        <v>2.2000000000000006E-2</v>
      </c>
      <c r="J3" s="17">
        <v>611.12663582560015</v>
      </c>
      <c r="K3" s="17">
        <v>0</v>
      </c>
      <c r="L3" s="146" t="s">
        <v>586</v>
      </c>
      <c r="M3" s="146" t="s">
        <v>366</v>
      </c>
      <c r="N3" s="146" t="s">
        <v>367</v>
      </c>
      <c r="O3" s="146" t="s">
        <v>381</v>
      </c>
      <c r="P3" s="146" t="s">
        <v>587</v>
      </c>
      <c r="Q3" s="146" t="s">
        <v>588</v>
      </c>
      <c r="R3" s="30" t="str">
        <f t="shared" ref="R3:W3" si="0">IF(L3="","",HLOOKUP(L$2,$R$1:$W$2,2,FALSE))</f>
        <v>IL</v>
      </c>
      <c r="S3" s="30" t="str">
        <f t="shared" si="0"/>
        <v>IN</v>
      </c>
      <c r="T3" s="30" t="str">
        <f t="shared" si="0"/>
        <v>MI</v>
      </c>
      <c r="U3" s="30" t="str">
        <f t="shared" si="0"/>
        <v/>
      </c>
      <c r="V3" s="30" t="str">
        <f t="shared" si="0"/>
        <v>OH</v>
      </c>
      <c r="W3" s="30" t="str">
        <f t="shared" si="0"/>
        <v>WI</v>
      </c>
      <c r="X3" s="30" t="str">
        <f t="shared" ref="X3:X66" si="1">R3&amp;S3&amp;T3&amp;U3&amp;V3&amp;W3</f>
        <v>ILINMIOHWI</v>
      </c>
    </row>
    <row r="4" spans="1:24" s="18" customFormat="1" ht="197" x14ac:dyDescent="0.25">
      <c r="A4" s="51" t="str">
        <f>IF(ISNA(VLOOKUP(B4,Shortlist_xref!$A$5:$B$77,2,FALSE))=TRUE,"-",VLOOKUP(B4,Shortlist_xref!$A$5:$B$77,2,FALSE))</f>
        <v>EmissRed</v>
      </c>
      <c r="B4" s="3" t="s">
        <v>13</v>
      </c>
      <c r="C4" s="5" t="s">
        <v>14</v>
      </c>
      <c r="D4" s="5" t="s">
        <v>15</v>
      </c>
      <c r="E4" s="12" t="s">
        <v>12</v>
      </c>
      <c r="F4" s="17">
        <v>460.08628717368202</v>
      </c>
      <c r="G4" s="17">
        <v>2169.3704372190859</v>
      </c>
      <c r="H4" s="17">
        <v>0</v>
      </c>
      <c r="I4" s="17">
        <v>3.9490000000000004E-2</v>
      </c>
      <c r="J4" s="17">
        <v>1386.3748371380661</v>
      </c>
      <c r="K4" s="17">
        <v>0</v>
      </c>
      <c r="L4" s="146" t="s">
        <v>586</v>
      </c>
      <c r="M4" s="146" t="s">
        <v>366</v>
      </c>
      <c r="N4" s="146" t="s">
        <v>367</v>
      </c>
      <c r="O4" s="146" t="s">
        <v>381</v>
      </c>
      <c r="P4" s="146" t="s">
        <v>587</v>
      </c>
      <c r="Q4" s="146" t="s">
        <v>588</v>
      </c>
      <c r="R4" s="30" t="str">
        <f t="shared" ref="R4:R67" si="2">IF(L4="","",HLOOKUP(L$2,$R$1:$W$2,2,FALSE))</f>
        <v>IL</v>
      </c>
      <c r="S4" s="30" t="str">
        <f t="shared" ref="S4:S67" si="3">IF(M4="","",HLOOKUP(M$2,$R$1:$W$2,2,FALSE))</f>
        <v>IN</v>
      </c>
      <c r="T4" s="30" t="str">
        <f t="shared" ref="T4:T67" si="4">IF(N4="","",HLOOKUP(N$2,$R$1:$W$2,2,FALSE))</f>
        <v>MI</v>
      </c>
      <c r="U4" s="30" t="str">
        <f t="shared" ref="U4:U67" si="5">IF(O4="","",HLOOKUP(O$2,$R$1:$W$2,2,FALSE))</f>
        <v/>
      </c>
      <c r="V4" s="30" t="str">
        <f t="shared" ref="V4:V67" si="6">IF(P4="","",HLOOKUP(P$2,$R$1:$W$2,2,FALSE))</f>
        <v>OH</v>
      </c>
      <c r="W4" s="30" t="str">
        <f t="shared" ref="W4:W67" si="7">IF(Q4="","",HLOOKUP(Q$2,$R$1:$W$2,2,FALSE))</f>
        <v>WI</v>
      </c>
      <c r="X4" s="30" t="str">
        <f t="shared" si="1"/>
        <v>ILINMIOHWI</v>
      </c>
    </row>
    <row r="5" spans="1:24" s="18" customFormat="1" ht="197" x14ac:dyDescent="0.25">
      <c r="A5" s="51" t="str">
        <f>IF(ISNA(VLOOKUP(B5,Shortlist_xref!$A$5:$B$77,2,FALSE))=TRUE,"-",VLOOKUP(B5,Shortlist_xref!$A$5:$B$77,2,FALSE))</f>
        <v>EmissRed</v>
      </c>
      <c r="B5" s="3" t="s">
        <v>16</v>
      </c>
      <c r="C5" s="5" t="s">
        <v>17</v>
      </c>
      <c r="D5" s="5" t="s">
        <v>18</v>
      </c>
      <c r="E5" s="12" t="s">
        <v>12</v>
      </c>
      <c r="F5" s="17">
        <v>332.72658772686401</v>
      </c>
      <c r="G5" s="17">
        <v>1392.3628992100159</v>
      </c>
      <c r="H5" s="17">
        <v>0</v>
      </c>
      <c r="I5" s="17">
        <v>3.124E-2</v>
      </c>
      <c r="J5" s="17">
        <v>867.79982287235202</v>
      </c>
      <c r="K5" s="17">
        <v>0</v>
      </c>
      <c r="L5" s="146" t="s">
        <v>586</v>
      </c>
      <c r="M5" s="146" t="s">
        <v>366</v>
      </c>
      <c r="N5" s="146" t="s">
        <v>367</v>
      </c>
      <c r="O5" s="146" t="s">
        <v>381</v>
      </c>
      <c r="P5" s="146" t="s">
        <v>587</v>
      </c>
      <c r="Q5" s="146" t="s">
        <v>588</v>
      </c>
      <c r="R5" s="30" t="str">
        <f t="shared" si="2"/>
        <v>IL</v>
      </c>
      <c r="S5" s="30" t="str">
        <f t="shared" si="3"/>
        <v>IN</v>
      </c>
      <c r="T5" s="30" t="str">
        <f t="shared" si="4"/>
        <v>MI</v>
      </c>
      <c r="U5" s="30" t="str">
        <f t="shared" si="5"/>
        <v/>
      </c>
      <c r="V5" s="30" t="str">
        <f t="shared" si="6"/>
        <v>OH</v>
      </c>
      <c r="W5" s="30" t="str">
        <f t="shared" si="7"/>
        <v>WI</v>
      </c>
      <c r="X5" s="30" t="str">
        <f t="shared" si="1"/>
        <v>ILINMIOHWI</v>
      </c>
    </row>
    <row r="6" spans="1:24" s="18" customFormat="1" ht="197" x14ac:dyDescent="0.25">
      <c r="A6" s="51" t="str">
        <f>IF(ISNA(VLOOKUP(B6,Shortlist_xref!$A$5:$B$77,2,FALSE))=TRUE,"-",VLOOKUP(B6,Shortlist_xref!$A$5:$B$77,2,FALSE))</f>
        <v>-</v>
      </c>
      <c r="B6" s="3" t="s">
        <v>19</v>
      </c>
      <c r="C6" s="5" t="s">
        <v>20</v>
      </c>
      <c r="D6" s="5" t="s">
        <v>382</v>
      </c>
      <c r="E6" s="12" t="s">
        <v>12</v>
      </c>
      <c r="F6" s="17">
        <v>27.501227400499999</v>
      </c>
      <c r="G6" s="17">
        <v>285.0320808825</v>
      </c>
      <c r="H6" s="17">
        <v>0</v>
      </c>
      <c r="I6" s="17">
        <v>0</v>
      </c>
      <c r="J6" s="17">
        <v>201.53379236149999</v>
      </c>
      <c r="K6" s="17">
        <v>0</v>
      </c>
      <c r="L6" s="146" t="s">
        <v>586</v>
      </c>
      <c r="M6" s="146" t="s">
        <v>366</v>
      </c>
      <c r="N6" s="146" t="s">
        <v>367</v>
      </c>
      <c r="O6" s="146" t="s">
        <v>381</v>
      </c>
      <c r="P6" s="146" t="s">
        <v>587</v>
      </c>
      <c r="Q6" s="146" t="s">
        <v>588</v>
      </c>
      <c r="R6" s="30" t="str">
        <f t="shared" si="2"/>
        <v>IL</v>
      </c>
      <c r="S6" s="30" t="str">
        <f t="shared" si="3"/>
        <v>IN</v>
      </c>
      <c r="T6" s="30" t="str">
        <f t="shared" si="4"/>
        <v>MI</v>
      </c>
      <c r="U6" s="30" t="str">
        <f t="shared" si="5"/>
        <v/>
      </c>
      <c r="V6" s="30" t="str">
        <f t="shared" si="6"/>
        <v>OH</v>
      </c>
      <c r="W6" s="30" t="str">
        <f t="shared" si="7"/>
        <v>WI</v>
      </c>
      <c r="X6" s="30" t="str">
        <f t="shared" si="1"/>
        <v>ILINMIOHWI</v>
      </c>
    </row>
    <row r="7" spans="1:24" s="18" customFormat="1" ht="197" x14ac:dyDescent="0.25">
      <c r="A7" s="51" t="str">
        <f>IF(ISNA(VLOOKUP(B7,Shortlist_xref!$A$5:$B$77,2,FALSE))=TRUE,"-",VLOOKUP(B7,Shortlist_xref!$A$5:$B$77,2,FALSE))</f>
        <v>-</v>
      </c>
      <c r="B7" s="3" t="s">
        <v>384</v>
      </c>
      <c r="C7" s="5" t="s">
        <v>385</v>
      </c>
      <c r="D7" s="5" t="s">
        <v>386</v>
      </c>
      <c r="E7" s="12" t="s">
        <v>12</v>
      </c>
      <c r="F7" s="17">
        <v>471.45243582657997</v>
      </c>
      <c r="G7" s="17">
        <v>307.87684806861995</v>
      </c>
      <c r="H7" s="17">
        <v>77.967565708799995</v>
      </c>
      <c r="I7" s="17">
        <v>211.62738623040002</v>
      </c>
      <c r="J7" s="17">
        <v>0</v>
      </c>
      <c r="K7" s="17">
        <v>223.4722263946</v>
      </c>
      <c r="L7" s="146" t="s">
        <v>586</v>
      </c>
      <c r="M7" s="146" t="s">
        <v>366</v>
      </c>
      <c r="N7" s="146" t="s">
        <v>367</v>
      </c>
      <c r="O7" s="146" t="s">
        <v>381</v>
      </c>
      <c r="P7" s="146" t="s">
        <v>587</v>
      </c>
      <c r="Q7" s="146" t="s">
        <v>588</v>
      </c>
      <c r="R7" s="30" t="str">
        <f t="shared" si="2"/>
        <v>IL</v>
      </c>
      <c r="S7" s="30" t="str">
        <f t="shared" si="3"/>
        <v>IN</v>
      </c>
      <c r="T7" s="30" t="str">
        <f t="shared" si="4"/>
        <v>MI</v>
      </c>
      <c r="U7" s="30" t="str">
        <f t="shared" si="5"/>
        <v/>
      </c>
      <c r="V7" s="30" t="str">
        <f t="shared" si="6"/>
        <v>OH</v>
      </c>
      <c r="W7" s="30" t="str">
        <f t="shared" si="7"/>
        <v>WI</v>
      </c>
      <c r="X7" s="30" t="str">
        <f t="shared" si="1"/>
        <v>ILINMIOHWI</v>
      </c>
    </row>
    <row r="8" spans="1:24" s="18" customFormat="1" ht="197" x14ac:dyDescent="0.25">
      <c r="A8" s="51" t="str">
        <f>IF(ISNA(VLOOKUP(B8,Shortlist_xref!$A$5:$B$77,2,FALSE))=TRUE,"-",VLOOKUP(B8,Shortlist_xref!$A$5:$B$77,2,FALSE))</f>
        <v>-</v>
      </c>
      <c r="B8" s="3" t="s">
        <v>388</v>
      </c>
      <c r="C8" s="5" t="s">
        <v>385</v>
      </c>
      <c r="D8" s="5" t="s">
        <v>389</v>
      </c>
      <c r="E8" s="12" t="s">
        <v>12</v>
      </c>
      <c r="F8" s="17">
        <v>319.37100491477997</v>
      </c>
      <c r="G8" s="17">
        <v>208.56173578841998</v>
      </c>
      <c r="H8" s="17">
        <v>52.816738060799999</v>
      </c>
      <c r="I8" s="17">
        <v>143.36048744640001</v>
      </c>
      <c r="J8" s="17">
        <v>0</v>
      </c>
      <c r="K8" s="17">
        <v>151.38441142859998</v>
      </c>
      <c r="L8" s="146" t="s">
        <v>586</v>
      </c>
      <c r="M8" s="146" t="s">
        <v>366</v>
      </c>
      <c r="N8" s="146" t="s">
        <v>367</v>
      </c>
      <c r="O8" s="146" t="s">
        <v>381</v>
      </c>
      <c r="P8" s="146" t="s">
        <v>587</v>
      </c>
      <c r="Q8" s="146" t="s">
        <v>588</v>
      </c>
      <c r="R8" s="30" t="str">
        <f t="shared" si="2"/>
        <v>IL</v>
      </c>
      <c r="S8" s="30" t="str">
        <f t="shared" si="3"/>
        <v>IN</v>
      </c>
      <c r="T8" s="30" t="str">
        <f t="shared" si="4"/>
        <v>MI</v>
      </c>
      <c r="U8" s="30" t="str">
        <f t="shared" si="5"/>
        <v/>
      </c>
      <c r="V8" s="30" t="str">
        <f t="shared" si="6"/>
        <v>OH</v>
      </c>
      <c r="W8" s="30" t="str">
        <f t="shared" si="7"/>
        <v>WI</v>
      </c>
      <c r="X8" s="30" t="str">
        <f t="shared" si="1"/>
        <v>ILINMIOHWI</v>
      </c>
    </row>
    <row r="9" spans="1:24" s="18" customFormat="1" ht="197" x14ac:dyDescent="0.25">
      <c r="A9" s="51" t="str">
        <f>IF(ISNA(VLOOKUP(B9,Shortlist_xref!$A$5:$B$77,2,FALSE))=TRUE,"-",VLOOKUP(B9,Shortlist_xref!$A$5:$B$77,2,FALSE))</f>
        <v>-</v>
      </c>
      <c r="B9" s="3" t="s">
        <v>391</v>
      </c>
      <c r="C9" s="5" t="s">
        <v>385</v>
      </c>
      <c r="D9" s="5" t="s">
        <v>392</v>
      </c>
      <c r="E9" s="12" t="s">
        <v>12</v>
      </c>
      <c r="F9" s="17">
        <v>357.39136264272997</v>
      </c>
      <c r="G9" s="17">
        <v>233.39051385846997</v>
      </c>
      <c r="H9" s="17">
        <v>59.104444972799996</v>
      </c>
      <c r="I9" s="17">
        <v>160.42721214240001</v>
      </c>
      <c r="J9" s="17">
        <v>0</v>
      </c>
      <c r="K9" s="17">
        <v>169.40636517009997</v>
      </c>
      <c r="L9" s="146" t="s">
        <v>586</v>
      </c>
      <c r="M9" s="146" t="s">
        <v>366</v>
      </c>
      <c r="N9" s="146" t="s">
        <v>367</v>
      </c>
      <c r="O9" s="146" t="s">
        <v>381</v>
      </c>
      <c r="P9" s="146" t="s">
        <v>587</v>
      </c>
      <c r="Q9" s="146" t="s">
        <v>588</v>
      </c>
      <c r="R9" s="30" t="str">
        <f t="shared" si="2"/>
        <v>IL</v>
      </c>
      <c r="S9" s="30" t="str">
        <f t="shared" si="3"/>
        <v>IN</v>
      </c>
      <c r="T9" s="30" t="str">
        <f t="shared" si="4"/>
        <v>MI</v>
      </c>
      <c r="U9" s="30" t="str">
        <f t="shared" si="5"/>
        <v/>
      </c>
      <c r="V9" s="30" t="str">
        <f t="shared" si="6"/>
        <v>OH</v>
      </c>
      <c r="W9" s="30" t="str">
        <f t="shared" si="7"/>
        <v>WI</v>
      </c>
      <c r="X9" s="30" t="str">
        <f t="shared" si="1"/>
        <v>ILINMIOHWI</v>
      </c>
    </row>
    <row r="10" spans="1:24" s="18" customFormat="1" ht="197" x14ac:dyDescent="0.25">
      <c r="A10" s="51" t="str">
        <f>IF(ISNA(VLOOKUP(B10,Shortlist_xref!$A$5:$B$77,2,FALSE))=TRUE,"-",VLOOKUP(B10,Shortlist_xref!$A$5:$B$77,2,FALSE))</f>
        <v>-</v>
      </c>
      <c r="B10" s="3" t="s">
        <v>394</v>
      </c>
      <c r="C10" s="5" t="s">
        <v>385</v>
      </c>
      <c r="D10" s="5" t="s">
        <v>382</v>
      </c>
      <c r="E10" s="12" t="s">
        <v>12</v>
      </c>
      <c r="F10" s="17">
        <v>0</v>
      </c>
      <c r="G10" s="17">
        <v>248.28778070049998</v>
      </c>
      <c r="H10" s="17">
        <v>0</v>
      </c>
      <c r="I10" s="17">
        <v>0</v>
      </c>
      <c r="J10" s="17">
        <v>0</v>
      </c>
      <c r="K10" s="17">
        <v>0</v>
      </c>
      <c r="L10" s="146" t="s">
        <v>586</v>
      </c>
      <c r="M10" s="146" t="s">
        <v>366</v>
      </c>
      <c r="N10" s="146" t="s">
        <v>367</v>
      </c>
      <c r="O10" s="146" t="s">
        <v>381</v>
      </c>
      <c r="P10" s="146" t="s">
        <v>587</v>
      </c>
      <c r="Q10" s="146" t="s">
        <v>588</v>
      </c>
      <c r="R10" s="30" t="str">
        <f t="shared" si="2"/>
        <v>IL</v>
      </c>
      <c r="S10" s="30" t="str">
        <f t="shared" si="3"/>
        <v>IN</v>
      </c>
      <c r="T10" s="30" t="str">
        <f t="shared" si="4"/>
        <v>MI</v>
      </c>
      <c r="U10" s="30" t="str">
        <f t="shared" si="5"/>
        <v/>
      </c>
      <c r="V10" s="30" t="str">
        <f t="shared" si="6"/>
        <v>OH</v>
      </c>
      <c r="W10" s="30" t="str">
        <f t="shared" si="7"/>
        <v>WI</v>
      </c>
      <c r="X10" s="30" t="str">
        <f t="shared" si="1"/>
        <v>ILINMIOHWI</v>
      </c>
    </row>
    <row r="11" spans="1:24" s="18" customFormat="1" ht="197" x14ac:dyDescent="0.25">
      <c r="A11" s="51" t="str">
        <f>IF(ISNA(VLOOKUP(B11,Shortlist_xref!$A$5:$B$77,2,FALSE))=TRUE,"-",VLOOKUP(B11,Shortlist_xref!$A$5:$B$77,2,FALSE))</f>
        <v>-</v>
      </c>
      <c r="B11" s="3" t="s">
        <v>395</v>
      </c>
      <c r="C11" s="5" t="s">
        <v>385</v>
      </c>
      <c r="D11" s="5" t="s">
        <v>21</v>
      </c>
      <c r="E11" s="12" t="s">
        <v>12</v>
      </c>
      <c r="F11" s="17">
        <v>0</v>
      </c>
      <c r="G11" s="17">
        <v>446.91800526089997</v>
      </c>
      <c r="H11" s="17">
        <v>0</v>
      </c>
      <c r="I11" s="17">
        <v>0</v>
      </c>
      <c r="J11" s="17">
        <v>0</v>
      </c>
      <c r="K11" s="17">
        <v>0</v>
      </c>
      <c r="L11" s="146" t="s">
        <v>586</v>
      </c>
      <c r="M11" s="146" t="s">
        <v>366</v>
      </c>
      <c r="N11" s="146" t="s">
        <v>367</v>
      </c>
      <c r="O11" s="146" t="s">
        <v>381</v>
      </c>
      <c r="P11" s="146" t="s">
        <v>587</v>
      </c>
      <c r="Q11" s="146" t="s">
        <v>588</v>
      </c>
      <c r="R11" s="30" t="str">
        <f t="shared" si="2"/>
        <v>IL</v>
      </c>
      <c r="S11" s="30" t="str">
        <f t="shared" si="3"/>
        <v>IN</v>
      </c>
      <c r="T11" s="30" t="str">
        <f t="shared" si="4"/>
        <v>MI</v>
      </c>
      <c r="U11" s="30" t="str">
        <f t="shared" si="5"/>
        <v/>
      </c>
      <c r="V11" s="30" t="str">
        <f t="shared" si="6"/>
        <v>OH</v>
      </c>
      <c r="W11" s="30" t="str">
        <f t="shared" si="7"/>
        <v>WI</v>
      </c>
      <c r="X11" s="30" t="str">
        <f t="shared" si="1"/>
        <v>ILINMIOHWI</v>
      </c>
    </row>
    <row r="12" spans="1:24" s="18" customFormat="1" ht="197" x14ac:dyDescent="0.25">
      <c r="A12" s="51" t="str">
        <f>IF(ISNA(VLOOKUP(B12,Shortlist_xref!$A$5:$B$77,2,FALSE))=TRUE,"-",VLOOKUP(B12,Shortlist_xref!$A$5:$B$77,2,FALSE))</f>
        <v>-</v>
      </c>
      <c r="B12" s="3" t="s">
        <v>397</v>
      </c>
      <c r="C12" s="5" t="s">
        <v>385</v>
      </c>
      <c r="D12" s="5" t="s">
        <v>11</v>
      </c>
      <c r="E12" s="12" t="s">
        <v>12</v>
      </c>
      <c r="F12" s="17">
        <v>0</v>
      </c>
      <c r="G12" s="17">
        <v>211.04461359542498</v>
      </c>
      <c r="H12" s="17">
        <v>0</v>
      </c>
      <c r="I12" s="17">
        <v>0</v>
      </c>
      <c r="J12" s="17">
        <v>0</v>
      </c>
      <c r="K12" s="17">
        <v>0</v>
      </c>
      <c r="L12" s="146" t="s">
        <v>586</v>
      </c>
      <c r="M12" s="146" t="s">
        <v>366</v>
      </c>
      <c r="N12" s="146" t="s">
        <v>367</v>
      </c>
      <c r="O12" s="146" t="s">
        <v>381</v>
      </c>
      <c r="P12" s="146" t="s">
        <v>587</v>
      </c>
      <c r="Q12" s="146" t="s">
        <v>588</v>
      </c>
      <c r="R12" s="30" t="str">
        <f t="shared" si="2"/>
        <v>IL</v>
      </c>
      <c r="S12" s="30" t="str">
        <f t="shared" si="3"/>
        <v>IN</v>
      </c>
      <c r="T12" s="30" t="str">
        <f t="shared" si="4"/>
        <v>MI</v>
      </c>
      <c r="U12" s="30" t="str">
        <f t="shared" si="5"/>
        <v/>
      </c>
      <c r="V12" s="30" t="str">
        <f t="shared" si="6"/>
        <v>OH</v>
      </c>
      <c r="W12" s="30" t="str">
        <f t="shared" si="7"/>
        <v>WI</v>
      </c>
      <c r="X12" s="30" t="str">
        <f t="shared" si="1"/>
        <v>ILINMIOHWI</v>
      </c>
    </row>
    <row r="13" spans="1:24" s="18" customFormat="1" ht="197" x14ac:dyDescent="0.25">
      <c r="A13" s="51" t="str">
        <f>IF(ISNA(VLOOKUP(B13,Shortlist_xref!$A$5:$B$77,2,FALSE))=TRUE,"-",VLOOKUP(B13,Shortlist_xref!$A$5:$B$77,2,FALSE))</f>
        <v>EmissRed</v>
      </c>
      <c r="B13" s="3" t="s">
        <v>313</v>
      </c>
      <c r="C13" s="5" t="s">
        <v>20</v>
      </c>
      <c r="D13" s="5" t="s">
        <v>21</v>
      </c>
      <c r="E13" s="12" t="s">
        <v>12</v>
      </c>
      <c r="F13" s="17">
        <v>544.67039567915003</v>
      </c>
      <c r="G13" s="17">
        <v>2568.19620005045</v>
      </c>
      <c r="H13" s="17">
        <v>0</v>
      </c>
      <c r="I13" s="17">
        <v>4.6750000000000007E-2</v>
      </c>
      <c r="J13" s="17">
        <v>1641.25154814395</v>
      </c>
      <c r="K13" s="17">
        <v>0</v>
      </c>
      <c r="L13" s="146" t="s">
        <v>586</v>
      </c>
      <c r="M13" s="146" t="s">
        <v>366</v>
      </c>
      <c r="N13" s="146" t="s">
        <v>367</v>
      </c>
      <c r="O13" s="146" t="s">
        <v>381</v>
      </c>
      <c r="P13" s="146" t="s">
        <v>587</v>
      </c>
      <c r="Q13" s="146" t="s">
        <v>588</v>
      </c>
      <c r="R13" s="30" t="str">
        <f t="shared" si="2"/>
        <v>IL</v>
      </c>
      <c r="S13" s="30" t="str">
        <f t="shared" si="3"/>
        <v>IN</v>
      </c>
      <c r="T13" s="30" t="str">
        <f t="shared" si="4"/>
        <v>MI</v>
      </c>
      <c r="U13" s="30" t="str">
        <f t="shared" si="5"/>
        <v/>
      </c>
      <c r="V13" s="30" t="str">
        <f t="shared" si="6"/>
        <v>OH</v>
      </c>
      <c r="W13" s="30" t="str">
        <f t="shared" si="7"/>
        <v>WI</v>
      </c>
      <c r="X13" s="30" t="str">
        <f t="shared" si="1"/>
        <v>ILINMIOHWI</v>
      </c>
    </row>
    <row r="14" spans="1:24" s="18" customFormat="1" ht="197" x14ac:dyDescent="0.25">
      <c r="A14" s="51" t="str">
        <f>IF(ISNA(VLOOKUP(B14,Shortlist_xref!$A$5:$B$77,2,FALSE))=TRUE,"-",VLOOKUP(B14,Shortlist_xref!$A$5:$B$77,2,FALSE))</f>
        <v>EmissRed</v>
      </c>
      <c r="B14" s="3" t="s">
        <v>314</v>
      </c>
      <c r="C14" s="5" t="s">
        <v>20</v>
      </c>
      <c r="D14" s="5" t="s">
        <v>11</v>
      </c>
      <c r="E14" s="12" t="s">
        <v>12</v>
      </c>
      <c r="F14" s="17">
        <v>240.29576279962501</v>
      </c>
      <c r="G14" s="17">
        <v>1133.0277353163751</v>
      </c>
      <c r="H14" s="17">
        <v>0</v>
      </c>
      <c r="I14" s="17">
        <v>2.0625000000000004E-2</v>
      </c>
      <c r="J14" s="17">
        <v>724.0815653576251</v>
      </c>
      <c r="K14" s="17">
        <v>0</v>
      </c>
      <c r="L14" s="146" t="s">
        <v>586</v>
      </c>
      <c r="M14" s="146" t="s">
        <v>366</v>
      </c>
      <c r="N14" s="146" t="s">
        <v>367</v>
      </c>
      <c r="O14" s="146" t="s">
        <v>381</v>
      </c>
      <c r="P14" s="146" t="s">
        <v>587</v>
      </c>
      <c r="Q14" s="146" t="s">
        <v>588</v>
      </c>
      <c r="R14" s="30" t="str">
        <f t="shared" si="2"/>
        <v>IL</v>
      </c>
      <c r="S14" s="30" t="str">
        <f t="shared" si="3"/>
        <v>IN</v>
      </c>
      <c r="T14" s="30" t="str">
        <f t="shared" si="4"/>
        <v>MI</v>
      </c>
      <c r="U14" s="30" t="str">
        <f t="shared" si="5"/>
        <v/>
      </c>
      <c r="V14" s="30" t="str">
        <f t="shared" si="6"/>
        <v>OH</v>
      </c>
      <c r="W14" s="30" t="str">
        <f t="shared" si="7"/>
        <v>WI</v>
      </c>
      <c r="X14" s="30" t="str">
        <f t="shared" si="1"/>
        <v>ILINMIOHWI</v>
      </c>
    </row>
    <row r="15" spans="1:24" s="18" customFormat="1" ht="197" x14ac:dyDescent="0.25">
      <c r="A15" s="51" t="str">
        <f>IF(ISNA(VLOOKUP(B15,Shortlist_xref!$A$5:$B$77,2,FALSE))=TRUE,"-",VLOOKUP(B15,Shortlist_xref!$A$5:$B$77,2,FALSE))</f>
        <v>EmissRed</v>
      </c>
      <c r="B15" s="3" t="s">
        <v>22</v>
      </c>
      <c r="C15" s="5" t="s">
        <v>23</v>
      </c>
      <c r="D15" s="5" t="s">
        <v>15</v>
      </c>
      <c r="E15" s="12" t="s">
        <v>12</v>
      </c>
      <c r="F15" s="17">
        <v>259.73764795368004</v>
      </c>
      <c r="G15" s="17">
        <v>168.6067558092</v>
      </c>
      <c r="H15" s="17">
        <v>805.70688583968001</v>
      </c>
      <c r="I15" s="17">
        <v>483.29629701192005</v>
      </c>
      <c r="J15" s="17">
        <v>0</v>
      </c>
      <c r="K15" s="17">
        <v>319.6540811772</v>
      </c>
      <c r="L15" s="146" t="s">
        <v>586</v>
      </c>
      <c r="M15" s="146" t="s">
        <v>366</v>
      </c>
      <c r="N15" s="146" t="s">
        <v>367</v>
      </c>
      <c r="O15" s="146" t="s">
        <v>381</v>
      </c>
      <c r="P15" s="146" t="s">
        <v>587</v>
      </c>
      <c r="Q15" s="146" t="s">
        <v>588</v>
      </c>
      <c r="R15" s="30" t="str">
        <f t="shared" si="2"/>
        <v>IL</v>
      </c>
      <c r="S15" s="30" t="str">
        <f t="shared" si="3"/>
        <v>IN</v>
      </c>
      <c r="T15" s="30" t="str">
        <f t="shared" si="4"/>
        <v>MI</v>
      </c>
      <c r="U15" s="30" t="str">
        <f t="shared" si="5"/>
        <v/>
      </c>
      <c r="V15" s="30" t="str">
        <f t="shared" si="6"/>
        <v>OH</v>
      </c>
      <c r="W15" s="30" t="str">
        <f t="shared" si="7"/>
        <v>WI</v>
      </c>
      <c r="X15" s="30" t="str">
        <f t="shared" si="1"/>
        <v>ILINMIOHWI</v>
      </c>
    </row>
    <row r="16" spans="1:24" s="18" customFormat="1" ht="197" x14ac:dyDescent="0.25">
      <c r="A16" s="51" t="str">
        <f>IF(ISNA(VLOOKUP(B16,Shortlist_xref!$A$5:$B$77,2,FALSE))=TRUE,"-",VLOOKUP(B16,Shortlist_xref!$A$5:$B$77,2,FALSE))</f>
        <v>-</v>
      </c>
      <c r="B16" s="3" t="s">
        <v>399</v>
      </c>
      <c r="C16" s="5" t="s">
        <v>400</v>
      </c>
      <c r="D16" s="5" t="s">
        <v>18</v>
      </c>
      <c r="E16" s="12" t="s">
        <v>12</v>
      </c>
      <c r="F16" s="17">
        <v>205.62563796333001</v>
      </c>
      <c r="G16" s="17">
        <v>133.48034834895</v>
      </c>
      <c r="H16" s="17">
        <v>637.85128462308001</v>
      </c>
      <c r="I16" s="17">
        <v>382.60956846777003</v>
      </c>
      <c r="J16" s="17">
        <v>0</v>
      </c>
      <c r="K16" s="17">
        <v>253.05948093194999</v>
      </c>
      <c r="L16" s="146" t="s">
        <v>586</v>
      </c>
      <c r="M16" s="146" t="s">
        <v>366</v>
      </c>
      <c r="N16" s="146" t="s">
        <v>367</v>
      </c>
      <c r="O16" s="146" t="s">
        <v>381</v>
      </c>
      <c r="P16" s="146" t="s">
        <v>587</v>
      </c>
      <c r="Q16" s="146" t="s">
        <v>588</v>
      </c>
      <c r="R16" s="30" t="str">
        <f t="shared" si="2"/>
        <v>IL</v>
      </c>
      <c r="S16" s="30" t="str">
        <f t="shared" si="3"/>
        <v>IN</v>
      </c>
      <c r="T16" s="30" t="str">
        <f t="shared" si="4"/>
        <v>MI</v>
      </c>
      <c r="U16" s="30" t="str">
        <f t="shared" si="5"/>
        <v/>
      </c>
      <c r="V16" s="30" t="str">
        <f t="shared" si="6"/>
        <v>OH</v>
      </c>
      <c r="W16" s="30" t="str">
        <f t="shared" si="7"/>
        <v>WI</v>
      </c>
      <c r="X16" s="30" t="str">
        <f t="shared" si="1"/>
        <v>ILINMIOHWI</v>
      </c>
    </row>
    <row r="17" spans="1:24" s="18" customFormat="1" ht="197" x14ac:dyDescent="0.25">
      <c r="A17" s="51" t="str">
        <f>IF(ISNA(VLOOKUP(B17,Shortlist_xref!$A$5:$B$77,2,FALSE))=TRUE,"-",VLOOKUP(B17,Shortlist_xref!$A$5:$B$77,2,FALSE))</f>
        <v>EmissRed</v>
      </c>
      <c r="B17" s="3" t="s">
        <v>24</v>
      </c>
      <c r="C17" s="5" t="s">
        <v>25</v>
      </c>
      <c r="D17" s="5" t="s">
        <v>26</v>
      </c>
      <c r="E17" s="12" t="s">
        <v>12</v>
      </c>
      <c r="F17" s="17">
        <v>920.36606679989995</v>
      </c>
      <c r="G17" s="17">
        <v>2475.2763651096002</v>
      </c>
      <c r="H17" s="17">
        <v>1086.7994722296</v>
      </c>
      <c r="I17" s="17">
        <v>625.64441459579996</v>
      </c>
      <c r="J17" s="17">
        <v>1375.0349306076002</v>
      </c>
      <c r="K17" s="17">
        <v>474.40184097150001</v>
      </c>
      <c r="L17" s="146" t="s">
        <v>586</v>
      </c>
      <c r="M17" s="146" t="s">
        <v>366</v>
      </c>
      <c r="N17" s="146" t="s">
        <v>367</v>
      </c>
      <c r="O17" s="146" t="s">
        <v>381</v>
      </c>
      <c r="P17" s="146" t="s">
        <v>587</v>
      </c>
      <c r="Q17" s="146" t="s">
        <v>588</v>
      </c>
      <c r="R17" s="30" t="str">
        <f t="shared" si="2"/>
        <v>IL</v>
      </c>
      <c r="S17" s="30" t="str">
        <f t="shared" si="3"/>
        <v>IN</v>
      </c>
      <c r="T17" s="30" t="str">
        <f t="shared" si="4"/>
        <v>MI</v>
      </c>
      <c r="U17" s="30" t="str">
        <f t="shared" si="5"/>
        <v/>
      </c>
      <c r="V17" s="30" t="str">
        <f t="shared" si="6"/>
        <v>OH</v>
      </c>
      <c r="W17" s="30" t="str">
        <f t="shared" si="7"/>
        <v>WI</v>
      </c>
      <c r="X17" s="30" t="str">
        <f t="shared" si="1"/>
        <v>ILINMIOHWI</v>
      </c>
    </row>
    <row r="18" spans="1:24" s="18" customFormat="1" ht="120.4" x14ac:dyDescent="0.25">
      <c r="A18" s="51" t="str">
        <f>IF(ISNA(VLOOKUP(B18,Shortlist_xref!$A$5:$B$77,2,FALSE))=TRUE,"-",VLOOKUP(B18,Shortlist_xref!$A$5:$B$77,2,FALSE))</f>
        <v>-</v>
      </c>
      <c r="B18" s="3" t="s">
        <v>404</v>
      </c>
      <c r="C18" s="5" t="s">
        <v>405</v>
      </c>
      <c r="D18" s="5" t="s">
        <v>382</v>
      </c>
      <c r="E18" s="12" t="s">
        <v>12</v>
      </c>
      <c r="F18" s="17">
        <v>13.069675907499999</v>
      </c>
      <c r="G18" s="17">
        <v>91.801123657000005</v>
      </c>
      <c r="H18" s="17">
        <v>38.421169836000004</v>
      </c>
      <c r="I18" s="17">
        <v>58.015212570383255</v>
      </c>
      <c r="J18" s="17">
        <v>13.777848571734351</v>
      </c>
      <c r="K18" s="17">
        <v>33.214175509913353</v>
      </c>
      <c r="L18" s="146" t="s">
        <v>365</v>
      </c>
      <c r="M18" s="146" t="s">
        <v>366</v>
      </c>
      <c r="N18" s="146" t="s">
        <v>367</v>
      </c>
      <c r="O18" s="146" t="s">
        <v>368</v>
      </c>
      <c r="P18" s="146" t="s">
        <v>369</v>
      </c>
      <c r="Q18" s="146" t="s">
        <v>370</v>
      </c>
      <c r="R18" s="30" t="str">
        <f t="shared" si="2"/>
        <v>IL</v>
      </c>
      <c r="S18" s="30" t="str">
        <f t="shared" si="3"/>
        <v>IN</v>
      </c>
      <c r="T18" s="30" t="str">
        <f t="shared" si="4"/>
        <v>MI</v>
      </c>
      <c r="U18" s="30" t="str">
        <f t="shared" si="5"/>
        <v>MN</v>
      </c>
      <c r="V18" s="30" t="str">
        <f t="shared" si="6"/>
        <v>OH</v>
      </c>
      <c r="W18" s="30" t="str">
        <f t="shared" si="7"/>
        <v>WI</v>
      </c>
      <c r="X18" s="30" t="str">
        <f t="shared" si="1"/>
        <v>ILINMIMNOHWI</v>
      </c>
    </row>
    <row r="19" spans="1:24" s="18" customFormat="1" ht="120.4" x14ac:dyDescent="0.25">
      <c r="A19" s="51" t="str">
        <f>IF(ISNA(VLOOKUP(B19,Shortlist_xref!$A$5:$B$77,2,FALSE))=TRUE,"-",VLOOKUP(B19,Shortlist_xref!$A$5:$B$77,2,FALSE))</f>
        <v>-</v>
      </c>
      <c r="B19" s="3" t="s">
        <v>406</v>
      </c>
      <c r="C19" s="5" t="s">
        <v>407</v>
      </c>
      <c r="D19" s="5" t="s">
        <v>26</v>
      </c>
      <c r="E19" s="12" t="s">
        <v>12</v>
      </c>
      <c r="F19" s="17">
        <v>23.525416633499997</v>
      </c>
      <c r="G19" s="17">
        <v>165.24202258260001</v>
      </c>
      <c r="H19" s="17">
        <v>69.158105704800008</v>
      </c>
      <c r="I19" s="17">
        <v>104.42738262668986</v>
      </c>
      <c r="J19" s="17">
        <v>24.800127429121833</v>
      </c>
      <c r="K19" s="17">
        <v>59.785515917844037</v>
      </c>
      <c r="L19" s="146" t="s">
        <v>365</v>
      </c>
      <c r="M19" s="146" t="s">
        <v>366</v>
      </c>
      <c r="N19" s="146" t="s">
        <v>367</v>
      </c>
      <c r="O19" s="146" t="s">
        <v>368</v>
      </c>
      <c r="P19" s="146" t="s">
        <v>369</v>
      </c>
      <c r="Q19" s="146" t="s">
        <v>370</v>
      </c>
      <c r="R19" s="30" t="str">
        <f t="shared" si="2"/>
        <v>IL</v>
      </c>
      <c r="S19" s="30" t="str">
        <f t="shared" si="3"/>
        <v>IN</v>
      </c>
      <c r="T19" s="30" t="str">
        <f t="shared" si="4"/>
        <v>MI</v>
      </c>
      <c r="U19" s="30" t="str">
        <f t="shared" si="5"/>
        <v>MN</v>
      </c>
      <c r="V19" s="30" t="str">
        <f t="shared" si="6"/>
        <v>OH</v>
      </c>
      <c r="W19" s="30" t="str">
        <f t="shared" si="7"/>
        <v>WI</v>
      </c>
      <c r="X19" s="30" t="str">
        <f t="shared" si="1"/>
        <v>ILINMIMNOHWI</v>
      </c>
    </row>
    <row r="20" spans="1:24" s="18" customFormat="1" ht="43.8" x14ac:dyDescent="0.25">
      <c r="A20" s="51" t="str">
        <f>IF(ISNA(VLOOKUP(B20,Shortlist_xref!$A$5:$B$77,2,FALSE))=TRUE,"-",VLOOKUP(B20,Shortlist_xref!$A$5:$B$77,2,FALSE))</f>
        <v>C-E</v>
      </c>
      <c r="B20" s="3" t="s">
        <v>27</v>
      </c>
      <c r="C20" s="5" t="s">
        <v>28</v>
      </c>
      <c r="D20" s="5" t="s">
        <v>29</v>
      </c>
      <c r="E20" s="12" t="s">
        <v>12</v>
      </c>
      <c r="F20" s="17">
        <v>36.598520000000008</v>
      </c>
      <c r="G20" s="17">
        <v>49.512767000000004</v>
      </c>
      <c r="H20" s="17">
        <v>22.954184464600001</v>
      </c>
      <c r="I20" s="17">
        <v>0</v>
      </c>
      <c r="J20" s="17">
        <v>0</v>
      </c>
      <c r="K20" s="17">
        <v>0</v>
      </c>
      <c r="L20" s="146" t="s">
        <v>589</v>
      </c>
      <c r="M20" s="146" t="s">
        <v>366</v>
      </c>
      <c r="N20" s="146" t="s">
        <v>590</v>
      </c>
      <c r="O20" s="146">
        <v>0</v>
      </c>
      <c r="P20" s="146" t="s">
        <v>591</v>
      </c>
      <c r="Q20" s="146" t="s">
        <v>592</v>
      </c>
      <c r="R20" s="30" t="str">
        <f t="shared" si="2"/>
        <v>IL</v>
      </c>
      <c r="S20" s="30" t="str">
        <f t="shared" si="3"/>
        <v>IN</v>
      </c>
      <c r="T20" s="30" t="str">
        <f t="shared" si="4"/>
        <v>MI</v>
      </c>
      <c r="U20" s="30" t="str">
        <f t="shared" si="5"/>
        <v>MN</v>
      </c>
      <c r="V20" s="30" t="str">
        <f t="shared" si="6"/>
        <v>OH</v>
      </c>
      <c r="W20" s="30" t="str">
        <f t="shared" si="7"/>
        <v>WI</v>
      </c>
      <c r="X20" s="30" t="str">
        <f t="shared" si="1"/>
        <v>ILINMIMNOHWI</v>
      </c>
    </row>
    <row r="21" spans="1:24" s="18" customFormat="1" ht="43.8" x14ac:dyDescent="0.25">
      <c r="A21" s="51" t="str">
        <f>IF(ISNA(VLOOKUP(B21,Shortlist_xref!$A$5:$B$77,2,FALSE))=TRUE,"-",VLOOKUP(B21,Shortlist_xref!$A$5:$B$77,2,FALSE))</f>
        <v>C-E</v>
      </c>
      <c r="B21" s="3" t="s">
        <v>30</v>
      </c>
      <c r="C21" s="5" t="s">
        <v>28</v>
      </c>
      <c r="D21" s="5" t="s">
        <v>31</v>
      </c>
      <c r="E21" s="12" t="s">
        <v>12</v>
      </c>
      <c r="F21" s="17">
        <v>51.715300000000006</v>
      </c>
      <c r="G21" s="17">
        <v>69.963692499999993</v>
      </c>
      <c r="H21" s="17">
        <v>32.435260656500006</v>
      </c>
      <c r="I21" s="17">
        <v>0</v>
      </c>
      <c r="J21" s="17">
        <v>0</v>
      </c>
      <c r="K21" s="17">
        <v>0</v>
      </c>
      <c r="L21" s="146" t="s">
        <v>589</v>
      </c>
      <c r="M21" s="146" t="s">
        <v>366</v>
      </c>
      <c r="N21" s="146" t="s">
        <v>590</v>
      </c>
      <c r="O21" s="146">
        <v>0</v>
      </c>
      <c r="P21" s="146" t="s">
        <v>591</v>
      </c>
      <c r="Q21" s="146" t="s">
        <v>592</v>
      </c>
      <c r="R21" s="30" t="str">
        <f t="shared" si="2"/>
        <v>IL</v>
      </c>
      <c r="S21" s="30" t="str">
        <f t="shared" si="3"/>
        <v>IN</v>
      </c>
      <c r="T21" s="30" t="str">
        <f t="shared" si="4"/>
        <v>MI</v>
      </c>
      <c r="U21" s="30" t="str">
        <f t="shared" si="5"/>
        <v>MN</v>
      </c>
      <c r="V21" s="30" t="str">
        <f t="shared" si="6"/>
        <v>OH</v>
      </c>
      <c r="W21" s="30" t="str">
        <f t="shared" si="7"/>
        <v>WI</v>
      </c>
      <c r="X21" s="30" t="str">
        <f t="shared" si="1"/>
        <v>ILINMIMNOHWI</v>
      </c>
    </row>
    <row r="22" spans="1:24" s="18" customFormat="1" ht="43.8" x14ac:dyDescent="0.25">
      <c r="A22" s="51" t="str">
        <f>IF(ISNA(VLOOKUP(B22,Shortlist_xref!$A$5:$B$77,2,FALSE))=TRUE,"-",VLOOKUP(B22,Shortlist_xref!$A$5:$B$77,2,FALSE))</f>
        <v>-</v>
      </c>
      <c r="B22" s="3" t="s">
        <v>408</v>
      </c>
      <c r="C22" s="5" t="s">
        <v>28</v>
      </c>
      <c r="D22" s="5" t="s">
        <v>409</v>
      </c>
      <c r="E22" s="12" t="s">
        <v>12</v>
      </c>
      <c r="F22" s="17">
        <v>39.781000000000006</v>
      </c>
      <c r="G22" s="17">
        <v>53.818224999999998</v>
      </c>
      <c r="H22" s="17">
        <v>24.950200505000002</v>
      </c>
      <c r="I22" s="17">
        <v>0</v>
      </c>
      <c r="J22" s="17">
        <v>0</v>
      </c>
      <c r="K22" s="17">
        <v>0</v>
      </c>
      <c r="L22" s="146" t="s">
        <v>589</v>
      </c>
      <c r="M22" s="146" t="s">
        <v>366</v>
      </c>
      <c r="N22" s="146" t="s">
        <v>590</v>
      </c>
      <c r="O22" s="146">
        <v>0</v>
      </c>
      <c r="P22" s="146" t="s">
        <v>591</v>
      </c>
      <c r="Q22" s="146" t="s">
        <v>592</v>
      </c>
      <c r="R22" s="30" t="str">
        <f t="shared" si="2"/>
        <v>IL</v>
      </c>
      <c r="S22" s="30" t="str">
        <f t="shared" si="3"/>
        <v>IN</v>
      </c>
      <c r="T22" s="30" t="str">
        <f t="shared" si="4"/>
        <v>MI</v>
      </c>
      <c r="U22" s="30" t="str">
        <f t="shared" si="5"/>
        <v>MN</v>
      </c>
      <c r="V22" s="30" t="str">
        <f t="shared" si="6"/>
        <v>OH</v>
      </c>
      <c r="W22" s="30" t="str">
        <f t="shared" si="7"/>
        <v>WI</v>
      </c>
      <c r="X22" s="30" t="str">
        <f t="shared" si="1"/>
        <v>ILINMIMNOHWI</v>
      </c>
    </row>
    <row r="23" spans="1:24" s="18" customFormat="1" ht="43.8" x14ac:dyDescent="0.25">
      <c r="A23" s="51" t="str">
        <f>IF(ISNA(VLOOKUP(B23,Shortlist_xref!$A$5:$B$77,2,FALSE))=TRUE,"-",VLOOKUP(B23,Shortlist_xref!$A$5:$B$77,2,FALSE))</f>
        <v>-</v>
      </c>
      <c r="B23" s="3" t="s">
        <v>412</v>
      </c>
      <c r="C23" s="5" t="s">
        <v>413</v>
      </c>
      <c r="D23" s="5" t="s">
        <v>414</v>
      </c>
      <c r="E23" s="12" t="s">
        <v>12</v>
      </c>
      <c r="F23" s="17">
        <v>66.374370000000013</v>
      </c>
      <c r="G23" s="17">
        <v>8.4010499999999997</v>
      </c>
      <c r="H23" s="17">
        <v>176.4289293795</v>
      </c>
      <c r="I23" s="17">
        <v>0</v>
      </c>
      <c r="J23" s="17">
        <v>19.953000000000003</v>
      </c>
      <c r="K23" s="17">
        <v>0</v>
      </c>
      <c r="L23" s="146" t="s">
        <v>589</v>
      </c>
      <c r="M23" s="146" t="s">
        <v>366</v>
      </c>
      <c r="N23" s="146" t="s">
        <v>590</v>
      </c>
      <c r="O23" s="146">
        <v>0</v>
      </c>
      <c r="P23" s="146" t="s">
        <v>591</v>
      </c>
      <c r="Q23" s="146" t="s">
        <v>592</v>
      </c>
      <c r="R23" s="30" t="str">
        <f t="shared" si="2"/>
        <v>IL</v>
      </c>
      <c r="S23" s="30" t="str">
        <f t="shared" si="3"/>
        <v>IN</v>
      </c>
      <c r="T23" s="30" t="str">
        <f t="shared" si="4"/>
        <v>MI</v>
      </c>
      <c r="U23" s="30" t="str">
        <f t="shared" si="5"/>
        <v>MN</v>
      </c>
      <c r="V23" s="30" t="str">
        <f t="shared" si="6"/>
        <v>OH</v>
      </c>
      <c r="W23" s="30" t="str">
        <f t="shared" si="7"/>
        <v>WI</v>
      </c>
      <c r="X23" s="30" t="str">
        <f t="shared" si="1"/>
        <v>ILINMIMNOHWI</v>
      </c>
    </row>
    <row r="24" spans="1:24" s="18" customFormat="1" ht="43.8" x14ac:dyDescent="0.25">
      <c r="A24" s="51" t="str">
        <f>IF(ISNA(VLOOKUP(B24,Shortlist_xref!$A$5:$B$77,2,FALSE))=TRUE,"-",VLOOKUP(B24,Shortlist_xref!$A$5:$B$77,2,FALSE))</f>
        <v>-</v>
      </c>
      <c r="B24" s="3" t="s">
        <v>415</v>
      </c>
      <c r="C24" s="5" t="s">
        <v>413</v>
      </c>
      <c r="D24" s="5" t="s">
        <v>416</v>
      </c>
      <c r="E24" s="12" t="s">
        <v>12</v>
      </c>
      <c r="F24" s="17">
        <v>66.374370000000013</v>
      </c>
      <c r="G24" s="17">
        <v>104.407155</v>
      </c>
      <c r="H24" s="17">
        <v>176.4289293795</v>
      </c>
      <c r="I24" s="17">
        <v>0</v>
      </c>
      <c r="J24" s="17">
        <v>65.69550000000001</v>
      </c>
      <c r="K24" s="17">
        <v>0</v>
      </c>
      <c r="L24" s="146" t="s">
        <v>589</v>
      </c>
      <c r="M24" s="146" t="s">
        <v>366</v>
      </c>
      <c r="N24" s="146" t="s">
        <v>590</v>
      </c>
      <c r="O24" s="146">
        <v>0</v>
      </c>
      <c r="P24" s="146" t="s">
        <v>591</v>
      </c>
      <c r="Q24" s="146" t="s">
        <v>592</v>
      </c>
      <c r="R24" s="30" t="str">
        <f t="shared" si="2"/>
        <v>IL</v>
      </c>
      <c r="S24" s="30" t="str">
        <f t="shared" si="3"/>
        <v>IN</v>
      </c>
      <c r="T24" s="30" t="str">
        <f t="shared" si="4"/>
        <v>MI</v>
      </c>
      <c r="U24" s="30" t="str">
        <f t="shared" si="5"/>
        <v>MN</v>
      </c>
      <c r="V24" s="30" t="str">
        <f t="shared" si="6"/>
        <v>OH</v>
      </c>
      <c r="W24" s="30" t="str">
        <f t="shared" si="7"/>
        <v>WI</v>
      </c>
      <c r="X24" s="30" t="str">
        <f t="shared" si="1"/>
        <v>ILINMIMNOHWI</v>
      </c>
    </row>
    <row r="25" spans="1:24" s="18" customFormat="1" ht="43.8" x14ac:dyDescent="0.25">
      <c r="A25" s="51" t="str">
        <f>IF(ISNA(VLOOKUP(B25,Shortlist_xref!$A$5:$B$77,2,FALSE))=TRUE,"-",VLOOKUP(B25,Shortlist_xref!$A$5:$B$77,2,FALSE))</f>
        <v>C-E</v>
      </c>
      <c r="B25" s="3" t="s">
        <v>32</v>
      </c>
      <c r="C25" s="5" t="s">
        <v>33</v>
      </c>
      <c r="D25" s="5" t="s">
        <v>18</v>
      </c>
      <c r="E25" s="12" t="s">
        <v>12</v>
      </c>
      <c r="F25" s="17">
        <v>0</v>
      </c>
      <c r="G25" s="17">
        <v>53.336725000000001</v>
      </c>
      <c r="H25" s="17">
        <v>0</v>
      </c>
      <c r="I25" s="17">
        <v>0</v>
      </c>
      <c r="J25" s="17">
        <v>25.412500000000001</v>
      </c>
      <c r="K25" s="17">
        <v>0</v>
      </c>
      <c r="L25" s="146" t="s">
        <v>589</v>
      </c>
      <c r="M25" s="146" t="s">
        <v>366</v>
      </c>
      <c r="N25" s="146" t="s">
        <v>590</v>
      </c>
      <c r="O25" s="146">
        <v>0</v>
      </c>
      <c r="P25" s="146" t="s">
        <v>591</v>
      </c>
      <c r="Q25" s="146" t="s">
        <v>592</v>
      </c>
      <c r="R25" s="30" t="str">
        <f t="shared" si="2"/>
        <v>IL</v>
      </c>
      <c r="S25" s="30" t="str">
        <f t="shared" si="3"/>
        <v>IN</v>
      </c>
      <c r="T25" s="30" t="str">
        <f t="shared" si="4"/>
        <v>MI</v>
      </c>
      <c r="U25" s="30" t="str">
        <f t="shared" si="5"/>
        <v>MN</v>
      </c>
      <c r="V25" s="30" t="str">
        <f t="shared" si="6"/>
        <v>OH</v>
      </c>
      <c r="W25" s="30" t="str">
        <f t="shared" si="7"/>
        <v>WI</v>
      </c>
      <c r="X25" s="30" t="str">
        <f t="shared" si="1"/>
        <v>ILINMIMNOHWI</v>
      </c>
    </row>
    <row r="26" spans="1:24" s="18" customFormat="1" ht="43.8" x14ac:dyDescent="0.25">
      <c r="A26" s="51" t="str">
        <f>IF(ISNA(VLOOKUP(B26,Shortlist_xref!$A$5:$B$77,2,FALSE))=TRUE,"-",VLOOKUP(B26,Shortlist_xref!$A$5:$B$77,2,FALSE))</f>
        <v>C-E</v>
      </c>
      <c r="B26" s="3" t="s">
        <v>34</v>
      </c>
      <c r="C26" s="5" t="s">
        <v>33</v>
      </c>
      <c r="D26" s="5" t="s">
        <v>35</v>
      </c>
      <c r="E26" s="12" t="s">
        <v>12</v>
      </c>
      <c r="F26" s="17">
        <v>0</v>
      </c>
      <c r="G26" s="17">
        <v>64.004069999999999</v>
      </c>
      <c r="H26" s="17">
        <v>0</v>
      </c>
      <c r="I26" s="17">
        <v>0</v>
      </c>
      <c r="J26" s="17">
        <v>30.495000000000001</v>
      </c>
      <c r="K26" s="17">
        <v>0</v>
      </c>
      <c r="L26" s="146" t="s">
        <v>589</v>
      </c>
      <c r="M26" s="146" t="s">
        <v>366</v>
      </c>
      <c r="N26" s="146" t="s">
        <v>590</v>
      </c>
      <c r="O26" s="146">
        <v>0</v>
      </c>
      <c r="P26" s="146" t="s">
        <v>591</v>
      </c>
      <c r="Q26" s="146" t="s">
        <v>592</v>
      </c>
      <c r="R26" s="30" t="str">
        <f t="shared" si="2"/>
        <v>IL</v>
      </c>
      <c r="S26" s="30" t="str">
        <f t="shared" si="3"/>
        <v>IN</v>
      </c>
      <c r="T26" s="30" t="str">
        <f t="shared" si="4"/>
        <v>MI</v>
      </c>
      <c r="U26" s="30" t="str">
        <f t="shared" si="5"/>
        <v>MN</v>
      </c>
      <c r="V26" s="30" t="str">
        <f t="shared" si="6"/>
        <v>OH</v>
      </c>
      <c r="W26" s="30" t="str">
        <f t="shared" si="7"/>
        <v>WI</v>
      </c>
      <c r="X26" s="30" t="str">
        <f t="shared" si="1"/>
        <v>ILINMIMNOHWI</v>
      </c>
    </row>
    <row r="27" spans="1:24" s="18" customFormat="1" ht="43.8" x14ac:dyDescent="0.25">
      <c r="A27" s="51" t="str">
        <f>IF(ISNA(VLOOKUP(B27,Shortlist_xref!$A$5:$B$77,2,FALSE))=TRUE,"-",VLOOKUP(B27,Shortlist_xref!$A$5:$B$77,2,FALSE))</f>
        <v>R-Select</v>
      </c>
      <c r="B27" s="3" t="s">
        <v>36</v>
      </c>
      <c r="C27" s="5" t="s">
        <v>334</v>
      </c>
      <c r="D27" s="5" t="s">
        <v>21</v>
      </c>
      <c r="E27" s="12" t="s">
        <v>12</v>
      </c>
      <c r="F27" s="17">
        <v>0</v>
      </c>
      <c r="G27" s="17">
        <v>181.344865</v>
      </c>
      <c r="H27" s="17">
        <v>0</v>
      </c>
      <c r="I27" s="17">
        <v>0</v>
      </c>
      <c r="J27" s="17">
        <v>86.402500000000003</v>
      </c>
      <c r="K27" s="17">
        <v>0</v>
      </c>
      <c r="L27" s="146" t="s">
        <v>589</v>
      </c>
      <c r="M27" s="146" t="s">
        <v>366</v>
      </c>
      <c r="N27" s="146" t="s">
        <v>590</v>
      </c>
      <c r="O27" s="146">
        <v>0</v>
      </c>
      <c r="P27" s="146" t="s">
        <v>591</v>
      </c>
      <c r="Q27" s="146" t="s">
        <v>592</v>
      </c>
      <c r="R27" s="30" t="str">
        <f t="shared" si="2"/>
        <v>IL</v>
      </c>
      <c r="S27" s="30" t="str">
        <f t="shared" si="3"/>
        <v>IN</v>
      </c>
      <c r="T27" s="30" t="str">
        <f t="shared" si="4"/>
        <v>MI</v>
      </c>
      <c r="U27" s="30" t="str">
        <f t="shared" si="5"/>
        <v>MN</v>
      </c>
      <c r="V27" s="30" t="str">
        <f t="shared" si="6"/>
        <v>OH</v>
      </c>
      <c r="W27" s="30" t="str">
        <f t="shared" si="7"/>
        <v>WI</v>
      </c>
      <c r="X27" s="30" t="str">
        <f t="shared" si="1"/>
        <v>ILINMIMNOHWI</v>
      </c>
    </row>
    <row r="28" spans="1:24" s="18" customFormat="1" ht="43.8" x14ac:dyDescent="0.25">
      <c r="A28" s="51" t="str">
        <f>IF(ISNA(VLOOKUP(B28,Shortlist_xref!$A$5:$B$77,2,FALSE))=TRUE,"-",VLOOKUP(B28,Shortlist_xref!$A$5:$B$77,2,FALSE))</f>
        <v>-</v>
      </c>
      <c r="B28" s="3" t="s">
        <v>417</v>
      </c>
      <c r="C28" s="5" t="s">
        <v>418</v>
      </c>
      <c r="D28" s="5" t="s">
        <v>21</v>
      </c>
      <c r="E28" s="12" t="s">
        <v>12</v>
      </c>
      <c r="F28" s="17">
        <v>0</v>
      </c>
      <c r="G28" s="17">
        <v>0</v>
      </c>
      <c r="H28" s="17">
        <v>0</v>
      </c>
      <c r="I28" s="17">
        <v>0</v>
      </c>
      <c r="J28" s="17">
        <v>0</v>
      </c>
      <c r="K28" s="17">
        <v>0</v>
      </c>
      <c r="L28" s="146" t="s">
        <v>589</v>
      </c>
      <c r="M28" s="146" t="s">
        <v>366</v>
      </c>
      <c r="N28" s="146" t="s">
        <v>590</v>
      </c>
      <c r="O28" s="146">
        <v>0</v>
      </c>
      <c r="P28" s="146" t="s">
        <v>591</v>
      </c>
      <c r="Q28" s="146" t="s">
        <v>592</v>
      </c>
      <c r="R28" s="30" t="str">
        <f t="shared" si="2"/>
        <v>IL</v>
      </c>
      <c r="S28" s="30" t="str">
        <f t="shared" si="3"/>
        <v>IN</v>
      </c>
      <c r="T28" s="30" t="str">
        <f t="shared" si="4"/>
        <v>MI</v>
      </c>
      <c r="U28" s="30" t="str">
        <f t="shared" si="5"/>
        <v>MN</v>
      </c>
      <c r="V28" s="30" t="str">
        <f t="shared" si="6"/>
        <v>OH</v>
      </c>
      <c r="W28" s="30" t="str">
        <f t="shared" si="7"/>
        <v>WI</v>
      </c>
      <c r="X28" s="30" t="str">
        <f t="shared" si="1"/>
        <v>ILINMIMNOHWI</v>
      </c>
    </row>
    <row r="29" spans="1:24" s="18" customFormat="1" ht="43.8" x14ac:dyDescent="0.25">
      <c r="A29" s="51" t="str">
        <f>IF(ISNA(VLOOKUP(B29,Shortlist_xref!$A$5:$B$77,2,FALSE))=TRUE,"-",VLOOKUP(B29,Shortlist_xref!$A$5:$B$77,2,FALSE))</f>
        <v>-</v>
      </c>
      <c r="B29" s="3" t="s">
        <v>419</v>
      </c>
      <c r="C29" s="5" t="s">
        <v>418</v>
      </c>
      <c r="D29" s="5" t="s">
        <v>416</v>
      </c>
      <c r="E29" s="12" t="s">
        <v>12</v>
      </c>
      <c r="F29" s="17">
        <v>1.6391474999999999E-2</v>
      </c>
      <c r="G29" s="17">
        <v>0</v>
      </c>
      <c r="H29" s="17">
        <v>0</v>
      </c>
      <c r="I29" s="17">
        <v>0</v>
      </c>
      <c r="J29" s="17">
        <v>0</v>
      </c>
      <c r="K29" s="17">
        <v>0</v>
      </c>
      <c r="L29" s="146" t="s">
        <v>589</v>
      </c>
      <c r="M29" s="146" t="s">
        <v>366</v>
      </c>
      <c r="N29" s="146" t="s">
        <v>590</v>
      </c>
      <c r="O29" s="146">
        <v>0</v>
      </c>
      <c r="P29" s="146" t="s">
        <v>591</v>
      </c>
      <c r="Q29" s="146" t="s">
        <v>592</v>
      </c>
      <c r="R29" s="30" t="str">
        <f t="shared" si="2"/>
        <v>IL</v>
      </c>
      <c r="S29" s="30" t="str">
        <f t="shared" si="3"/>
        <v>IN</v>
      </c>
      <c r="T29" s="30" t="str">
        <f t="shared" si="4"/>
        <v>MI</v>
      </c>
      <c r="U29" s="30" t="str">
        <f t="shared" si="5"/>
        <v>MN</v>
      </c>
      <c r="V29" s="30" t="str">
        <f t="shared" si="6"/>
        <v>OH</v>
      </c>
      <c r="W29" s="30" t="str">
        <f t="shared" si="7"/>
        <v>WI</v>
      </c>
      <c r="X29" s="30" t="str">
        <f t="shared" si="1"/>
        <v>ILINMIMNOHWI</v>
      </c>
    </row>
    <row r="30" spans="1:24" s="18" customFormat="1" ht="43.8" x14ac:dyDescent="0.25">
      <c r="A30" s="51" t="str">
        <f>IF(ISNA(VLOOKUP(B30,Shortlist_xref!$A$5:$B$77,2,FALSE))=TRUE,"-",VLOOKUP(B30,Shortlist_xref!$A$5:$B$77,2,FALSE))</f>
        <v>-</v>
      </c>
      <c r="B30" s="3" t="s">
        <v>420</v>
      </c>
      <c r="C30" s="5" t="s">
        <v>28</v>
      </c>
      <c r="D30" s="5" t="s">
        <v>26</v>
      </c>
      <c r="E30" s="12" t="s">
        <v>12</v>
      </c>
      <c r="F30" s="17">
        <v>132.78152295000001</v>
      </c>
      <c r="G30" s="17">
        <v>208.81431000000001</v>
      </c>
      <c r="H30" s="17">
        <v>352.85785875900001</v>
      </c>
      <c r="I30" s="17">
        <v>0</v>
      </c>
      <c r="J30" s="17">
        <v>131.39100000000002</v>
      </c>
      <c r="K30" s="17">
        <v>0</v>
      </c>
      <c r="L30" s="146" t="s">
        <v>589</v>
      </c>
      <c r="M30" s="146" t="s">
        <v>366</v>
      </c>
      <c r="N30" s="146" t="s">
        <v>590</v>
      </c>
      <c r="O30" s="146">
        <v>0</v>
      </c>
      <c r="P30" s="146" t="s">
        <v>591</v>
      </c>
      <c r="Q30" s="146" t="s">
        <v>592</v>
      </c>
      <c r="R30" s="30" t="str">
        <f t="shared" si="2"/>
        <v>IL</v>
      </c>
      <c r="S30" s="30" t="str">
        <f t="shared" si="3"/>
        <v>IN</v>
      </c>
      <c r="T30" s="30" t="str">
        <f t="shared" si="4"/>
        <v>MI</v>
      </c>
      <c r="U30" s="30" t="str">
        <f t="shared" si="5"/>
        <v>MN</v>
      </c>
      <c r="V30" s="30" t="str">
        <f t="shared" si="6"/>
        <v>OH</v>
      </c>
      <c r="W30" s="30" t="str">
        <f t="shared" si="7"/>
        <v>WI</v>
      </c>
      <c r="X30" s="30" t="str">
        <f t="shared" si="1"/>
        <v>ILINMIMNOHWI</v>
      </c>
    </row>
    <row r="31" spans="1:24" s="18" customFormat="1" ht="43.8" x14ac:dyDescent="0.25">
      <c r="A31" s="51" t="str">
        <f>IF(ISNA(VLOOKUP(B31,Shortlist_xref!$A$5:$B$77,2,FALSE))=TRUE,"-",VLOOKUP(B31,Shortlist_xref!$A$5:$B$77,2,FALSE))</f>
        <v>-</v>
      </c>
      <c r="B31" s="3" t="s">
        <v>421</v>
      </c>
      <c r="C31" s="5" t="s">
        <v>28</v>
      </c>
      <c r="D31" s="5" t="s">
        <v>357</v>
      </c>
      <c r="E31" s="12" t="s">
        <v>12</v>
      </c>
      <c r="F31" s="17" t="s">
        <v>37</v>
      </c>
      <c r="G31" s="17" t="s">
        <v>37</v>
      </c>
      <c r="H31" s="17" t="s">
        <v>37</v>
      </c>
      <c r="I31" s="17" t="s">
        <v>37</v>
      </c>
      <c r="J31" s="17" t="s">
        <v>37</v>
      </c>
      <c r="K31" s="17" t="s">
        <v>37</v>
      </c>
      <c r="L31" s="146" t="s">
        <v>589</v>
      </c>
      <c r="M31" s="146" t="s">
        <v>366</v>
      </c>
      <c r="N31" s="146" t="s">
        <v>590</v>
      </c>
      <c r="O31" s="146">
        <v>0</v>
      </c>
      <c r="P31" s="146" t="s">
        <v>591</v>
      </c>
      <c r="Q31" s="146" t="s">
        <v>592</v>
      </c>
      <c r="R31" s="30" t="str">
        <f t="shared" si="2"/>
        <v>IL</v>
      </c>
      <c r="S31" s="30" t="str">
        <f t="shared" si="3"/>
        <v>IN</v>
      </c>
      <c r="T31" s="30" t="str">
        <f t="shared" si="4"/>
        <v>MI</v>
      </c>
      <c r="U31" s="30" t="str">
        <f t="shared" si="5"/>
        <v>MN</v>
      </c>
      <c r="V31" s="30" t="str">
        <f t="shared" si="6"/>
        <v>OH</v>
      </c>
      <c r="W31" s="30" t="str">
        <f t="shared" si="7"/>
        <v>WI</v>
      </c>
      <c r="X31" s="30" t="str">
        <f t="shared" si="1"/>
        <v>ILINMIMNOHWI</v>
      </c>
    </row>
    <row r="32" spans="1:24" s="18" customFormat="1" ht="120.4" x14ac:dyDescent="0.25">
      <c r="A32" s="51" t="str">
        <f>IF(ISNA(VLOOKUP(B32,Shortlist_xref!$A$5:$B$77,2,FALSE))=TRUE,"-",VLOOKUP(B32,Shortlist_xref!$A$5:$B$77,2,FALSE))</f>
        <v>-</v>
      </c>
      <c r="B32" s="3" t="s">
        <v>427</v>
      </c>
      <c r="C32" s="5" t="s">
        <v>428</v>
      </c>
      <c r="D32" s="5" t="s">
        <v>21</v>
      </c>
      <c r="E32" s="12" t="s">
        <v>12</v>
      </c>
      <c r="F32" s="17">
        <v>0.13523891000000002</v>
      </c>
      <c r="G32" s="17">
        <v>112.89744114999999</v>
      </c>
      <c r="H32" s="17">
        <v>1.2806950000000001</v>
      </c>
      <c r="I32" s="17">
        <v>0</v>
      </c>
      <c r="J32" s="17">
        <v>4.351915</v>
      </c>
      <c r="K32" s="17">
        <v>0</v>
      </c>
      <c r="L32" s="146" t="s">
        <v>365</v>
      </c>
      <c r="M32" s="146" t="s">
        <v>593</v>
      </c>
      <c r="N32" s="146" t="s">
        <v>367</v>
      </c>
      <c r="O32" s="146" t="s">
        <v>594</v>
      </c>
      <c r="P32" s="146" t="s">
        <v>595</v>
      </c>
      <c r="Q32" s="146" t="s">
        <v>370</v>
      </c>
      <c r="R32" s="30" t="str">
        <f t="shared" si="2"/>
        <v>IL</v>
      </c>
      <c r="S32" s="30" t="str">
        <f t="shared" si="3"/>
        <v>IN</v>
      </c>
      <c r="T32" s="30" t="str">
        <f t="shared" si="4"/>
        <v>MI</v>
      </c>
      <c r="U32" s="30" t="str">
        <f t="shared" si="5"/>
        <v>MN</v>
      </c>
      <c r="V32" s="30" t="str">
        <f t="shared" si="6"/>
        <v>OH</v>
      </c>
      <c r="W32" s="30" t="str">
        <f t="shared" si="7"/>
        <v>WI</v>
      </c>
      <c r="X32" s="30" t="str">
        <f t="shared" si="1"/>
        <v>ILINMIMNOHWI</v>
      </c>
    </row>
    <row r="33" spans="1:24" s="18" customFormat="1" ht="120.4" x14ac:dyDescent="0.25">
      <c r="A33" s="51" t="str">
        <f>IF(ISNA(VLOOKUP(B33,Shortlist_xref!$A$5:$B$77,2,FALSE))=TRUE,"-",VLOOKUP(B33,Shortlist_xref!$A$5:$B$77,2,FALSE))</f>
        <v>-</v>
      </c>
      <c r="B33" s="3" t="s">
        <v>429</v>
      </c>
      <c r="C33" s="5" t="s">
        <v>430</v>
      </c>
      <c r="D33" s="5" t="s">
        <v>18</v>
      </c>
      <c r="E33" s="12" t="s">
        <v>12</v>
      </c>
      <c r="F33" s="17">
        <v>7.9552300000000006E-2</v>
      </c>
      <c r="G33" s="17">
        <v>66.410259499999995</v>
      </c>
      <c r="H33" s="17">
        <v>0.75335000000000008</v>
      </c>
      <c r="I33" s="17">
        <v>0</v>
      </c>
      <c r="J33" s="17">
        <v>2.5599500000000002</v>
      </c>
      <c r="K33" s="17">
        <v>0</v>
      </c>
      <c r="L33" s="146" t="s">
        <v>365</v>
      </c>
      <c r="M33" s="146" t="s">
        <v>593</v>
      </c>
      <c r="N33" s="146" t="s">
        <v>367</v>
      </c>
      <c r="O33" s="146" t="s">
        <v>594</v>
      </c>
      <c r="P33" s="146" t="s">
        <v>595</v>
      </c>
      <c r="Q33" s="146" t="s">
        <v>370</v>
      </c>
      <c r="R33" s="30" t="str">
        <f t="shared" si="2"/>
        <v>IL</v>
      </c>
      <c r="S33" s="30" t="str">
        <f t="shared" si="3"/>
        <v>IN</v>
      </c>
      <c r="T33" s="30" t="str">
        <f t="shared" si="4"/>
        <v>MI</v>
      </c>
      <c r="U33" s="30" t="str">
        <f t="shared" si="5"/>
        <v>MN</v>
      </c>
      <c r="V33" s="30" t="str">
        <f t="shared" si="6"/>
        <v>OH</v>
      </c>
      <c r="W33" s="30" t="str">
        <f t="shared" si="7"/>
        <v>WI</v>
      </c>
      <c r="X33" s="30" t="str">
        <f t="shared" si="1"/>
        <v>ILINMIMNOHWI</v>
      </c>
    </row>
    <row r="34" spans="1:24" s="18" customFormat="1" ht="120.4" x14ac:dyDescent="0.25">
      <c r="A34" s="51" t="str">
        <f>IF(ISNA(VLOOKUP(B34,Shortlist_xref!$A$5:$B$77,2,FALSE))=TRUE,"-",VLOOKUP(B34,Shortlist_xref!$A$5:$B$77,2,FALSE))</f>
        <v>-</v>
      </c>
      <c r="B34" s="3" t="s">
        <v>431</v>
      </c>
      <c r="C34" s="5" t="s">
        <v>430</v>
      </c>
      <c r="D34" s="5" t="s">
        <v>21</v>
      </c>
      <c r="E34" s="12" t="s">
        <v>12</v>
      </c>
      <c r="F34" s="17">
        <v>0.13523891000000002</v>
      </c>
      <c r="G34" s="17">
        <v>112.89744114999999</v>
      </c>
      <c r="H34" s="17">
        <v>1.2806950000000001</v>
      </c>
      <c r="I34" s="17">
        <v>0</v>
      </c>
      <c r="J34" s="17">
        <v>4.351915</v>
      </c>
      <c r="K34" s="17">
        <v>0</v>
      </c>
      <c r="L34" s="146" t="s">
        <v>365</v>
      </c>
      <c r="M34" s="146" t="s">
        <v>593</v>
      </c>
      <c r="N34" s="146" t="s">
        <v>367</v>
      </c>
      <c r="O34" s="146" t="s">
        <v>594</v>
      </c>
      <c r="P34" s="146" t="s">
        <v>595</v>
      </c>
      <c r="Q34" s="146" t="s">
        <v>370</v>
      </c>
      <c r="R34" s="30" t="str">
        <f t="shared" si="2"/>
        <v>IL</v>
      </c>
      <c r="S34" s="30" t="str">
        <f t="shared" si="3"/>
        <v>IN</v>
      </c>
      <c r="T34" s="30" t="str">
        <f t="shared" si="4"/>
        <v>MI</v>
      </c>
      <c r="U34" s="30" t="str">
        <f t="shared" si="5"/>
        <v>MN</v>
      </c>
      <c r="V34" s="30" t="str">
        <f t="shared" si="6"/>
        <v>OH</v>
      </c>
      <c r="W34" s="30" t="str">
        <f t="shared" si="7"/>
        <v>WI</v>
      </c>
      <c r="X34" s="30" t="str">
        <f t="shared" si="1"/>
        <v>ILINMIMNOHWI</v>
      </c>
    </row>
    <row r="35" spans="1:24" s="18" customFormat="1" ht="120.4" x14ac:dyDescent="0.25">
      <c r="A35" s="51" t="str">
        <f>IF(ISNA(VLOOKUP(B35,Shortlist_xref!$A$5:$B$77,2,FALSE))=TRUE,"-",VLOOKUP(B35,Shortlist_xref!$A$5:$B$77,2,FALSE))</f>
        <v>-</v>
      </c>
      <c r="B35" s="3" t="s">
        <v>432</v>
      </c>
      <c r="C35" s="5" t="s">
        <v>433</v>
      </c>
      <c r="D35" s="5" t="s">
        <v>434</v>
      </c>
      <c r="E35" s="12" t="s">
        <v>12</v>
      </c>
      <c r="F35" s="17">
        <v>8.7507530000000014E-2</v>
      </c>
      <c r="G35" s="17">
        <v>73.051285449999995</v>
      </c>
      <c r="H35" s="17">
        <v>0.82868500000000012</v>
      </c>
      <c r="I35" s="17">
        <v>0</v>
      </c>
      <c r="J35" s="17">
        <v>2.8159450000000006</v>
      </c>
      <c r="K35" s="17">
        <v>0</v>
      </c>
      <c r="L35" s="146" t="s">
        <v>365</v>
      </c>
      <c r="M35" s="146" t="s">
        <v>593</v>
      </c>
      <c r="N35" s="146" t="s">
        <v>367</v>
      </c>
      <c r="O35" s="146" t="s">
        <v>594</v>
      </c>
      <c r="P35" s="146" t="s">
        <v>595</v>
      </c>
      <c r="Q35" s="146" t="s">
        <v>370</v>
      </c>
      <c r="R35" s="30" t="str">
        <f t="shared" si="2"/>
        <v>IL</v>
      </c>
      <c r="S35" s="30" t="str">
        <f t="shared" si="3"/>
        <v>IN</v>
      </c>
      <c r="T35" s="30" t="str">
        <f t="shared" si="4"/>
        <v>MI</v>
      </c>
      <c r="U35" s="30" t="str">
        <f t="shared" si="5"/>
        <v>MN</v>
      </c>
      <c r="V35" s="30" t="str">
        <f t="shared" si="6"/>
        <v>OH</v>
      </c>
      <c r="W35" s="30" t="str">
        <f t="shared" si="7"/>
        <v>WI</v>
      </c>
      <c r="X35" s="30" t="str">
        <f t="shared" si="1"/>
        <v>ILINMIMNOHWI</v>
      </c>
    </row>
    <row r="36" spans="1:24" s="18" customFormat="1" ht="120.4" x14ac:dyDescent="0.25">
      <c r="A36" s="51" t="str">
        <f>IF(ISNA(VLOOKUP(B36,Shortlist_xref!$A$5:$B$77,2,FALSE))=TRUE,"-",VLOOKUP(B36,Shortlist_xref!$A$5:$B$77,2,FALSE))</f>
        <v>-</v>
      </c>
      <c r="B36" s="3" t="s">
        <v>435</v>
      </c>
      <c r="C36" s="5" t="s">
        <v>436</v>
      </c>
      <c r="D36" s="5" t="s">
        <v>21</v>
      </c>
      <c r="E36" s="12" t="s">
        <v>12</v>
      </c>
      <c r="F36" s="17">
        <v>0.13523891000000002</v>
      </c>
      <c r="G36" s="17">
        <v>112.89744114999999</v>
      </c>
      <c r="H36" s="17">
        <v>1.2806950000000001</v>
      </c>
      <c r="I36" s="17">
        <v>0</v>
      </c>
      <c r="J36" s="17">
        <v>4.351915</v>
      </c>
      <c r="K36" s="17">
        <v>0</v>
      </c>
      <c r="L36" s="146" t="s">
        <v>365</v>
      </c>
      <c r="M36" s="146" t="s">
        <v>593</v>
      </c>
      <c r="N36" s="146" t="s">
        <v>367</v>
      </c>
      <c r="O36" s="146" t="s">
        <v>594</v>
      </c>
      <c r="P36" s="146" t="s">
        <v>595</v>
      </c>
      <c r="Q36" s="146" t="s">
        <v>370</v>
      </c>
      <c r="R36" s="30" t="str">
        <f t="shared" si="2"/>
        <v>IL</v>
      </c>
      <c r="S36" s="30" t="str">
        <f t="shared" si="3"/>
        <v>IN</v>
      </c>
      <c r="T36" s="30" t="str">
        <f t="shared" si="4"/>
        <v>MI</v>
      </c>
      <c r="U36" s="30" t="str">
        <f t="shared" si="5"/>
        <v>MN</v>
      </c>
      <c r="V36" s="30" t="str">
        <f t="shared" si="6"/>
        <v>OH</v>
      </c>
      <c r="W36" s="30" t="str">
        <f t="shared" si="7"/>
        <v>WI</v>
      </c>
      <c r="X36" s="30" t="str">
        <f t="shared" si="1"/>
        <v>ILINMIMNOHWI</v>
      </c>
    </row>
    <row r="37" spans="1:24" s="18" customFormat="1" x14ac:dyDescent="0.25">
      <c r="A37" s="51" t="str">
        <f>IF(ISNA(VLOOKUP(B37,Shortlist_xref!$A$5:$B$77,2,FALSE))=TRUE,"-",VLOOKUP(B37,Shortlist_xref!$A$5:$B$77,2,FALSE))</f>
        <v>-</v>
      </c>
      <c r="B37" s="3" t="s">
        <v>437</v>
      </c>
      <c r="C37" s="5" t="s">
        <v>438</v>
      </c>
      <c r="D37" s="5" t="s">
        <v>18</v>
      </c>
      <c r="E37" s="12" t="s">
        <v>12</v>
      </c>
      <c r="F37" s="17">
        <v>0</v>
      </c>
      <c r="G37" s="17">
        <v>0</v>
      </c>
      <c r="H37" s="17">
        <v>0</v>
      </c>
      <c r="I37" s="17">
        <v>0</v>
      </c>
      <c r="J37" s="17">
        <v>0</v>
      </c>
      <c r="K37" s="17">
        <v>0</v>
      </c>
      <c r="L37" s="146" t="s">
        <v>381</v>
      </c>
      <c r="M37" s="146" t="s">
        <v>381</v>
      </c>
      <c r="N37" s="146" t="s">
        <v>381</v>
      </c>
      <c r="O37" s="146" t="s">
        <v>381</v>
      </c>
      <c r="P37" s="146" t="s">
        <v>381</v>
      </c>
      <c r="Q37" s="146" t="s">
        <v>381</v>
      </c>
      <c r="R37" s="30" t="str">
        <f t="shared" si="2"/>
        <v/>
      </c>
      <c r="S37" s="30" t="str">
        <f t="shared" si="3"/>
        <v/>
      </c>
      <c r="T37" s="30" t="str">
        <f t="shared" si="4"/>
        <v/>
      </c>
      <c r="U37" s="30" t="str">
        <f t="shared" si="5"/>
        <v/>
      </c>
      <c r="V37" s="30" t="str">
        <f t="shared" si="6"/>
        <v/>
      </c>
      <c r="W37" s="30" t="str">
        <f t="shared" si="7"/>
        <v/>
      </c>
      <c r="X37" s="30" t="str">
        <f t="shared" si="1"/>
        <v/>
      </c>
    </row>
    <row r="38" spans="1:24" s="18" customFormat="1" ht="24.2" x14ac:dyDescent="0.25">
      <c r="A38" s="51" t="str">
        <f>IF(ISNA(VLOOKUP(B38,Shortlist_xref!$A$5:$B$77,2,FALSE))=TRUE,"-",VLOOKUP(B38,Shortlist_xref!$A$5:$B$77,2,FALSE))</f>
        <v>-</v>
      </c>
      <c r="B38" s="3" t="s">
        <v>439</v>
      </c>
      <c r="C38" s="5" t="s">
        <v>438</v>
      </c>
      <c r="D38" s="5" t="s">
        <v>434</v>
      </c>
      <c r="E38" s="12" t="s">
        <v>12</v>
      </c>
      <c r="F38" s="17">
        <v>0</v>
      </c>
      <c r="G38" s="17">
        <v>0</v>
      </c>
      <c r="H38" s="17">
        <v>0</v>
      </c>
      <c r="I38" s="17">
        <v>0</v>
      </c>
      <c r="J38" s="17">
        <v>0</v>
      </c>
      <c r="K38" s="17">
        <v>0</v>
      </c>
      <c r="L38" s="146" t="s">
        <v>381</v>
      </c>
      <c r="M38" s="146" t="s">
        <v>381</v>
      </c>
      <c r="N38" s="146" t="s">
        <v>381</v>
      </c>
      <c r="O38" s="146" t="s">
        <v>381</v>
      </c>
      <c r="P38" s="146" t="s">
        <v>381</v>
      </c>
      <c r="Q38" s="146" t="s">
        <v>381</v>
      </c>
      <c r="R38" s="30" t="str">
        <f t="shared" si="2"/>
        <v/>
      </c>
      <c r="S38" s="30" t="str">
        <f t="shared" si="3"/>
        <v/>
      </c>
      <c r="T38" s="30" t="str">
        <f t="shared" si="4"/>
        <v/>
      </c>
      <c r="U38" s="30" t="str">
        <f t="shared" si="5"/>
        <v/>
      </c>
      <c r="V38" s="30" t="str">
        <f t="shared" si="6"/>
        <v/>
      </c>
      <c r="W38" s="30" t="str">
        <f t="shared" si="7"/>
        <v/>
      </c>
      <c r="X38" s="30" t="str">
        <f t="shared" si="1"/>
        <v/>
      </c>
    </row>
    <row r="39" spans="1:24" s="18" customFormat="1" ht="24.2" x14ac:dyDescent="0.25">
      <c r="A39" s="51" t="str">
        <f>IF(ISNA(VLOOKUP(B39,Shortlist_xref!$A$5:$B$77,2,FALSE))=TRUE,"-",VLOOKUP(B39,Shortlist_xref!$A$5:$B$77,2,FALSE))</f>
        <v>-</v>
      </c>
      <c r="B39" s="3" t="s">
        <v>440</v>
      </c>
      <c r="C39" s="5" t="s">
        <v>438</v>
      </c>
      <c r="D39" s="5" t="s">
        <v>441</v>
      </c>
      <c r="E39" s="12" t="s">
        <v>12</v>
      </c>
      <c r="F39" s="17">
        <v>0</v>
      </c>
      <c r="G39" s="17">
        <v>0</v>
      </c>
      <c r="H39" s="17">
        <v>0</v>
      </c>
      <c r="I39" s="17">
        <v>0</v>
      </c>
      <c r="J39" s="17">
        <v>0</v>
      </c>
      <c r="K39" s="17">
        <v>0</v>
      </c>
      <c r="L39" s="146" t="s">
        <v>381</v>
      </c>
      <c r="M39" s="146" t="s">
        <v>381</v>
      </c>
      <c r="N39" s="146" t="s">
        <v>381</v>
      </c>
      <c r="O39" s="146" t="s">
        <v>381</v>
      </c>
      <c r="P39" s="146" t="s">
        <v>381</v>
      </c>
      <c r="Q39" s="146" t="s">
        <v>381</v>
      </c>
      <c r="R39" s="30" t="str">
        <f t="shared" si="2"/>
        <v/>
      </c>
      <c r="S39" s="30" t="str">
        <f t="shared" si="3"/>
        <v/>
      </c>
      <c r="T39" s="30" t="str">
        <f t="shared" si="4"/>
        <v/>
      </c>
      <c r="U39" s="30" t="str">
        <f t="shared" si="5"/>
        <v/>
      </c>
      <c r="V39" s="30" t="str">
        <f t="shared" si="6"/>
        <v/>
      </c>
      <c r="W39" s="30" t="str">
        <f t="shared" si="7"/>
        <v/>
      </c>
      <c r="X39" s="30" t="str">
        <f t="shared" si="1"/>
        <v/>
      </c>
    </row>
    <row r="40" spans="1:24" s="18" customFormat="1" ht="24.2" x14ac:dyDescent="0.25">
      <c r="A40" s="51" t="str">
        <f>IF(ISNA(VLOOKUP(B40,Shortlist_xref!$A$5:$B$77,2,FALSE))=TRUE,"-",VLOOKUP(B40,Shortlist_xref!$A$5:$B$77,2,FALSE))</f>
        <v>-</v>
      </c>
      <c r="B40" s="3" t="s">
        <v>442</v>
      </c>
      <c r="C40" s="5" t="s">
        <v>438</v>
      </c>
      <c r="D40" s="5" t="s">
        <v>443</v>
      </c>
      <c r="E40" s="12" t="s">
        <v>12</v>
      </c>
      <c r="F40" s="17">
        <v>0</v>
      </c>
      <c r="G40" s="17">
        <v>0</v>
      </c>
      <c r="H40" s="17">
        <v>0</v>
      </c>
      <c r="I40" s="17">
        <v>0</v>
      </c>
      <c r="J40" s="17">
        <v>0</v>
      </c>
      <c r="K40" s="17">
        <v>0</v>
      </c>
      <c r="L40" s="146" t="s">
        <v>381</v>
      </c>
      <c r="M40" s="146" t="s">
        <v>381</v>
      </c>
      <c r="N40" s="146" t="s">
        <v>381</v>
      </c>
      <c r="O40" s="146" t="s">
        <v>381</v>
      </c>
      <c r="P40" s="146" t="s">
        <v>381</v>
      </c>
      <c r="Q40" s="146" t="s">
        <v>381</v>
      </c>
      <c r="R40" s="30" t="str">
        <f t="shared" si="2"/>
        <v/>
      </c>
      <c r="S40" s="30" t="str">
        <f t="shared" si="3"/>
        <v/>
      </c>
      <c r="T40" s="30" t="str">
        <f t="shared" si="4"/>
        <v/>
      </c>
      <c r="U40" s="30" t="str">
        <f t="shared" si="5"/>
        <v/>
      </c>
      <c r="V40" s="30" t="str">
        <f t="shared" si="6"/>
        <v/>
      </c>
      <c r="W40" s="30" t="str">
        <f t="shared" si="7"/>
        <v/>
      </c>
      <c r="X40" s="30" t="str">
        <f t="shared" si="1"/>
        <v/>
      </c>
    </row>
    <row r="41" spans="1:24" s="18" customFormat="1" x14ac:dyDescent="0.25">
      <c r="A41" s="51" t="str">
        <f>IF(ISNA(VLOOKUP(B41,Shortlist_xref!$A$5:$B$77,2,FALSE))=TRUE,"-",VLOOKUP(B41,Shortlist_xref!$A$5:$B$77,2,FALSE))</f>
        <v>-</v>
      </c>
      <c r="B41" s="3" t="s">
        <v>444</v>
      </c>
      <c r="C41" s="5" t="s">
        <v>438</v>
      </c>
      <c r="D41" s="5" t="s">
        <v>21</v>
      </c>
      <c r="E41" s="12" t="s">
        <v>12</v>
      </c>
      <c r="F41" s="17">
        <v>0</v>
      </c>
      <c r="G41" s="17">
        <v>0</v>
      </c>
      <c r="H41" s="17">
        <v>0</v>
      </c>
      <c r="I41" s="17">
        <v>0</v>
      </c>
      <c r="J41" s="17">
        <v>0</v>
      </c>
      <c r="K41" s="17">
        <v>0</v>
      </c>
      <c r="L41" s="146" t="s">
        <v>381</v>
      </c>
      <c r="M41" s="146" t="s">
        <v>381</v>
      </c>
      <c r="N41" s="146" t="s">
        <v>381</v>
      </c>
      <c r="O41" s="146" t="s">
        <v>381</v>
      </c>
      <c r="P41" s="146" t="s">
        <v>381</v>
      </c>
      <c r="Q41" s="146" t="s">
        <v>381</v>
      </c>
      <c r="R41" s="30" t="str">
        <f t="shared" si="2"/>
        <v/>
      </c>
      <c r="S41" s="30" t="str">
        <f t="shared" si="3"/>
        <v/>
      </c>
      <c r="T41" s="30" t="str">
        <f t="shared" si="4"/>
        <v/>
      </c>
      <c r="U41" s="30" t="str">
        <f t="shared" si="5"/>
        <v/>
      </c>
      <c r="V41" s="30" t="str">
        <f t="shared" si="6"/>
        <v/>
      </c>
      <c r="W41" s="30" t="str">
        <f t="shared" si="7"/>
        <v/>
      </c>
      <c r="X41" s="30" t="str">
        <f t="shared" si="1"/>
        <v/>
      </c>
    </row>
    <row r="42" spans="1:24" s="18" customFormat="1" x14ac:dyDescent="0.25">
      <c r="A42" s="51" t="str">
        <f>IF(ISNA(VLOOKUP(B42,Shortlist_xref!$A$5:$B$77,2,FALSE))=TRUE,"-",VLOOKUP(B42,Shortlist_xref!$A$5:$B$77,2,FALSE))</f>
        <v>-</v>
      </c>
      <c r="B42" s="3" t="s">
        <v>445</v>
      </c>
      <c r="C42" s="5" t="s">
        <v>438</v>
      </c>
      <c r="D42" s="5" t="s">
        <v>446</v>
      </c>
      <c r="E42" s="12" t="s">
        <v>12</v>
      </c>
      <c r="F42" s="17">
        <v>0</v>
      </c>
      <c r="G42" s="17">
        <v>0</v>
      </c>
      <c r="H42" s="17">
        <v>0</v>
      </c>
      <c r="I42" s="17">
        <v>0</v>
      </c>
      <c r="J42" s="17">
        <v>0</v>
      </c>
      <c r="K42" s="17">
        <v>0</v>
      </c>
      <c r="L42" s="146" t="s">
        <v>381</v>
      </c>
      <c r="M42" s="146" t="s">
        <v>381</v>
      </c>
      <c r="N42" s="146" t="s">
        <v>381</v>
      </c>
      <c r="O42" s="146" t="s">
        <v>381</v>
      </c>
      <c r="P42" s="146" t="s">
        <v>381</v>
      </c>
      <c r="Q42" s="146" t="s">
        <v>381</v>
      </c>
      <c r="R42" s="30" t="str">
        <f t="shared" si="2"/>
        <v/>
      </c>
      <c r="S42" s="30" t="str">
        <f t="shared" si="3"/>
        <v/>
      </c>
      <c r="T42" s="30" t="str">
        <f t="shared" si="4"/>
        <v/>
      </c>
      <c r="U42" s="30" t="str">
        <f t="shared" si="5"/>
        <v/>
      </c>
      <c r="V42" s="30" t="str">
        <f t="shared" si="6"/>
        <v/>
      </c>
      <c r="W42" s="30" t="str">
        <f t="shared" si="7"/>
        <v/>
      </c>
      <c r="X42" s="30" t="str">
        <f t="shared" si="1"/>
        <v/>
      </c>
    </row>
    <row r="43" spans="1:24" s="18" customFormat="1" ht="24.2" x14ac:dyDescent="0.25">
      <c r="A43" s="51" t="str">
        <f>IF(ISNA(VLOOKUP(B43,Shortlist_xref!$A$5:$B$77,2,FALSE))=TRUE,"-",VLOOKUP(B43,Shortlist_xref!$A$5:$B$77,2,FALSE))</f>
        <v>-</v>
      </c>
      <c r="B43" s="3" t="s">
        <v>447</v>
      </c>
      <c r="C43" s="5" t="s">
        <v>448</v>
      </c>
      <c r="D43" s="5" t="s">
        <v>21</v>
      </c>
      <c r="E43" s="12" t="s">
        <v>12</v>
      </c>
      <c r="F43" s="17">
        <v>0.54769851999999997</v>
      </c>
      <c r="G43" s="17">
        <v>7.1688957500000008</v>
      </c>
      <c r="H43" s="17">
        <v>1.965455</v>
      </c>
      <c r="I43" s="17">
        <v>1.7017000000000001E-2</v>
      </c>
      <c r="J43" s="17">
        <v>4.7391069999999997</v>
      </c>
      <c r="K43" s="17">
        <v>12.28609125</v>
      </c>
      <c r="L43" s="146" t="s">
        <v>381</v>
      </c>
      <c r="M43" s="146" t="s">
        <v>381</v>
      </c>
      <c r="N43" s="146" t="s">
        <v>381</v>
      </c>
      <c r="O43" s="146" t="s">
        <v>381</v>
      </c>
      <c r="P43" s="146" t="s">
        <v>381</v>
      </c>
      <c r="Q43" s="146" t="s">
        <v>381</v>
      </c>
      <c r="R43" s="30" t="str">
        <f t="shared" si="2"/>
        <v/>
      </c>
      <c r="S43" s="30" t="str">
        <f t="shared" si="3"/>
        <v/>
      </c>
      <c r="T43" s="30" t="str">
        <f t="shared" si="4"/>
        <v/>
      </c>
      <c r="U43" s="30" t="str">
        <f t="shared" si="5"/>
        <v/>
      </c>
      <c r="V43" s="30" t="str">
        <f t="shared" si="6"/>
        <v/>
      </c>
      <c r="W43" s="30" t="str">
        <f t="shared" si="7"/>
        <v/>
      </c>
      <c r="X43" s="30" t="str">
        <f t="shared" si="1"/>
        <v/>
      </c>
    </row>
    <row r="44" spans="1:24" s="18" customFormat="1" x14ac:dyDescent="0.25">
      <c r="A44" s="51" t="str">
        <f>IF(ISNA(VLOOKUP(B44,Shortlist_xref!$A$5:$B$77,2,FALSE))=TRUE,"-",VLOOKUP(B44,Shortlist_xref!$A$5:$B$77,2,FALSE))</f>
        <v>-</v>
      </c>
      <c r="B44" s="3" t="s">
        <v>449</v>
      </c>
      <c r="C44" s="5" t="s">
        <v>450</v>
      </c>
      <c r="D44" s="5" t="s">
        <v>18</v>
      </c>
      <c r="E44" s="12" t="s">
        <v>12</v>
      </c>
      <c r="F44" s="17">
        <v>0</v>
      </c>
      <c r="G44" s="17">
        <v>0</v>
      </c>
      <c r="H44" s="17">
        <v>0</v>
      </c>
      <c r="I44" s="17">
        <v>0</v>
      </c>
      <c r="J44" s="17">
        <v>0</v>
      </c>
      <c r="K44" s="17">
        <v>0</v>
      </c>
      <c r="L44" s="146" t="s">
        <v>381</v>
      </c>
      <c r="M44" s="146" t="s">
        <v>381</v>
      </c>
      <c r="N44" s="146" t="s">
        <v>381</v>
      </c>
      <c r="O44" s="146" t="s">
        <v>381</v>
      </c>
      <c r="P44" s="146" t="s">
        <v>381</v>
      </c>
      <c r="Q44" s="146" t="s">
        <v>381</v>
      </c>
      <c r="R44" s="30" t="str">
        <f t="shared" si="2"/>
        <v/>
      </c>
      <c r="S44" s="30" t="str">
        <f t="shared" si="3"/>
        <v/>
      </c>
      <c r="T44" s="30" t="str">
        <f t="shared" si="4"/>
        <v/>
      </c>
      <c r="U44" s="30" t="str">
        <f t="shared" si="5"/>
        <v/>
      </c>
      <c r="V44" s="30" t="str">
        <f t="shared" si="6"/>
        <v/>
      </c>
      <c r="W44" s="30" t="str">
        <f t="shared" si="7"/>
        <v/>
      </c>
      <c r="X44" s="30" t="str">
        <f t="shared" si="1"/>
        <v/>
      </c>
    </row>
    <row r="45" spans="1:24" s="18" customFormat="1" ht="24.2" x14ac:dyDescent="0.25">
      <c r="A45" s="51" t="str">
        <f>IF(ISNA(VLOOKUP(B45,Shortlist_xref!$A$5:$B$77,2,FALSE))=TRUE,"-",VLOOKUP(B45,Shortlist_xref!$A$5:$B$77,2,FALSE))</f>
        <v>-</v>
      </c>
      <c r="B45" s="3" t="s">
        <v>451</v>
      </c>
      <c r="C45" s="5" t="s">
        <v>450</v>
      </c>
      <c r="D45" s="5" t="s">
        <v>434</v>
      </c>
      <c r="E45" s="12" t="s">
        <v>12</v>
      </c>
      <c r="F45" s="17">
        <v>0</v>
      </c>
      <c r="G45" s="17">
        <v>0</v>
      </c>
      <c r="H45" s="17">
        <v>0</v>
      </c>
      <c r="I45" s="17">
        <v>0</v>
      </c>
      <c r="J45" s="17">
        <v>0</v>
      </c>
      <c r="K45" s="17">
        <v>0</v>
      </c>
      <c r="L45" s="146" t="s">
        <v>381</v>
      </c>
      <c r="M45" s="146" t="s">
        <v>381</v>
      </c>
      <c r="N45" s="146" t="s">
        <v>381</v>
      </c>
      <c r="O45" s="146" t="s">
        <v>381</v>
      </c>
      <c r="P45" s="146" t="s">
        <v>381</v>
      </c>
      <c r="Q45" s="146" t="s">
        <v>381</v>
      </c>
      <c r="R45" s="30" t="str">
        <f t="shared" si="2"/>
        <v/>
      </c>
      <c r="S45" s="30" t="str">
        <f t="shared" si="3"/>
        <v/>
      </c>
      <c r="T45" s="30" t="str">
        <f t="shared" si="4"/>
        <v/>
      </c>
      <c r="U45" s="30" t="str">
        <f t="shared" si="5"/>
        <v/>
      </c>
      <c r="V45" s="30" t="str">
        <f t="shared" si="6"/>
        <v/>
      </c>
      <c r="W45" s="30" t="str">
        <f t="shared" si="7"/>
        <v/>
      </c>
      <c r="X45" s="30" t="str">
        <f t="shared" si="1"/>
        <v/>
      </c>
    </row>
    <row r="46" spans="1:24" s="18" customFormat="1" x14ac:dyDescent="0.25">
      <c r="A46" s="51" t="str">
        <f>IF(ISNA(VLOOKUP(B46,Shortlist_xref!$A$5:$B$77,2,FALSE))=TRUE,"-",VLOOKUP(B46,Shortlist_xref!$A$5:$B$77,2,FALSE))</f>
        <v>-</v>
      </c>
      <c r="B46" s="3" t="s">
        <v>452</v>
      </c>
      <c r="C46" s="5" t="s">
        <v>38</v>
      </c>
      <c r="D46" s="5" t="s">
        <v>453</v>
      </c>
      <c r="E46" s="12" t="s">
        <v>12</v>
      </c>
      <c r="F46" s="17">
        <v>0</v>
      </c>
      <c r="G46" s="17">
        <v>0</v>
      </c>
      <c r="H46" s="17">
        <v>0</v>
      </c>
      <c r="I46" s="17">
        <v>0</v>
      </c>
      <c r="J46" s="17">
        <v>0</v>
      </c>
      <c r="K46" s="17">
        <v>0</v>
      </c>
      <c r="L46" s="146" t="s">
        <v>381</v>
      </c>
      <c r="M46" s="146" t="s">
        <v>381</v>
      </c>
      <c r="N46" s="146" t="s">
        <v>381</v>
      </c>
      <c r="O46" s="146" t="s">
        <v>381</v>
      </c>
      <c r="P46" s="146" t="s">
        <v>381</v>
      </c>
      <c r="Q46" s="146" t="s">
        <v>381</v>
      </c>
      <c r="R46" s="30" t="str">
        <f t="shared" si="2"/>
        <v/>
      </c>
      <c r="S46" s="30" t="str">
        <f t="shared" si="3"/>
        <v/>
      </c>
      <c r="T46" s="30" t="str">
        <f t="shared" si="4"/>
        <v/>
      </c>
      <c r="U46" s="30" t="str">
        <f t="shared" si="5"/>
        <v/>
      </c>
      <c r="V46" s="30" t="str">
        <f t="shared" si="6"/>
        <v/>
      </c>
      <c r="W46" s="30" t="str">
        <f t="shared" si="7"/>
        <v/>
      </c>
      <c r="X46" s="30" t="str">
        <f t="shared" si="1"/>
        <v/>
      </c>
    </row>
    <row r="47" spans="1:24" s="18" customFormat="1" x14ac:dyDescent="0.25">
      <c r="A47" s="51" t="str">
        <f>IF(ISNA(VLOOKUP(B47,Shortlist_xref!$A$5:$B$77,2,FALSE))=TRUE,"-",VLOOKUP(B47,Shortlist_xref!$A$5:$B$77,2,FALSE))</f>
        <v>C-E</v>
      </c>
      <c r="B47" s="3" t="s">
        <v>39</v>
      </c>
      <c r="C47" s="5" t="s">
        <v>38</v>
      </c>
      <c r="D47" s="5" t="s">
        <v>18</v>
      </c>
      <c r="E47" s="12" t="s">
        <v>12</v>
      </c>
      <c r="F47" s="17">
        <v>0</v>
      </c>
      <c r="G47" s="17">
        <v>0</v>
      </c>
      <c r="H47" s="17">
        <v>0</v>
      </c>
      <c r="I47" s="17">
        <v>0</v>
      </c>
      <c r="J47" s="17">
        <v>0</v>
      </c>
      <c r="K47" s="17">
        <v>0</v>
      </c>
      <c r="L47" s="146" t="s">
        <v>381</v>
      </c>
      <c r="M47" s="146" t="s">
        <v>381</v>
      </c>
      <c r="N47" s="146" t="s">
        <v>381</v>
      </c>
      <c r="O47" s="146" t="s">
        <v>381</v>
      </c>
      <c r="P47" s="146" t="s">
        <v>381</v>
      </c>
      <c r="Q47" s="146" t="s">
        <v>381</v>
      </c>
      <c r="R47" s="30" t="str">
        <f t="shared" si="2"/>
        <v/>
      </c>
      <c r="S47" s="30" t="str">
        <f t="shared" si="3"/>
        <v/>
      </c>
      <c r="T47" s="30" t="str">
        <f t="shared" si="4"/>
        <v/>
      </c>
      <c r="U47" s="30" t="str">
        <f t="shared" si="5"/>
        <v/>
      </c>
      <c r="V47" s="30" t="str">
        <f t="shared" si="6"/>
        <v/>
      </c>
      <c r="W47" s="30" t="str">
        <f t="shared" si="7"/>
        <v/>
      </c>
      <c r="X47" s="30" t="str">
        <f t="shared" si="1"/>
        <v/>
      </c>
    </row>
    <row r="48" spans="1:24" s="18" customFormat="1" ht="24.2" x14ac:dyDescent="0.25">
      <c r="A48" s="51" t="str">
        <f>IF(ISNA(VLOOKUP(B48,Shortlist_xref!$A$5:$B$77,2,FALSE))=TRUE,"-",VLOOKUP(B48,Shortlist_xref!$A$5:$B$77,2,FALSE))</f>
        <v>-</v>
      </c>
      <c r="B48" s="3" t="s">
        <v>40</v>
      </c>
      <c r="C48" s="5" t="s">
        <v>38</v>
      </c>
      <c r="D48" s="5" t="s">
        <v>434</v>
      </c>
      <c r="E48" s="12" t="s">
        <v>12</v>
      </c>
      <c r="F48" s="17">
        <v>0</v>
      </c>
      <c r="G48" s="17">
        <v>0</v>
      </c>
      <c r="H48" s="17">
        <v>0</v>
      </c>
      <c r="I48" s="17">
        <v>0</v>
      </c>
      <c r="J48" s="17">
        <v>0</v>
      </c>
      <c r="K48" s="17">
        <v>0</v>
      </c>
      <c r="L48" s="146" t="s">
        <v>381</v>
      </c>
      <c r="M48" s="146" t="s">
        <v>381</v>
      </c>
      <c r="N48" s="146" t="s">
        <v>381</v>
      </c>
      <c r="O48" s="146" t="s">
        <v>381</v>
      </c>
      <c r="P48" s="146" t="s">
        <v>381</v>
      </c>
      <c r="Q48" s="146" t="s">
        <v>381</v>
      </c>
      <c r="R48" s="30" t="str">
        <f t="shared" si="2"/>
        <v/>
      </c>
      <c r="S48" s="30" t="str">
        <f t="shared" si="3"/>
        <v/>
      </c>
      <c r="T48" s="30" t="str">
        <f t="shared" si="4"/>
        <v/>
      </c>
      <c r="U48" s="30" t="str">
        <f t="shared" si="5"/>
        <v/>
      </c>
      <c r="V48" s="30" t="str">
        <f t="shared" si="6"/>
        <v/>
      </c>
      <c r="W48" s="30" t="str">
        <f t="shared" si="7"/>
        <v/>
      </c>
      <c r="X48" s="30" t="str">
        <f t="shared" si="1"/>
        <v/>
      </c>
    </row>
    <row r="49" spans="1:24" s="18" customFormat="1" ht="120.4" x14ac:dyDescent="0.25">
      <c r="A49" s="51" t="str">
        <f>IF(ISNA(VLOOKUP(B49,Shortlist_xref!$A$5:$B$77,2,FALSE))=TRUE,"-",VLOOKUP(B49,Shortlist_xref!$A$5:$B$77,2,FALSE))</f>
        <v>-</v>
      </c>
      <c r="B49" s="3" t="s">
        <v>41</v>
      </c>
      <c r="C49" s="5" t="s">
        <v>454</v>
      </c>
      <c r="D49" s="5" t="s">
        <v>434</v>
      </c>
      <c r="E49" s="12" t="s">
        <v>12</v>
      </c>
      <c r="F49" s="17">
        <v>0</v>
      </c>
      <c r="G49" s="17">
        <v>0</v>
      </c>
      <c r="H49" s="17">
        <v>0</v>
      </c>
      <c r="I49" s="17">
        <v>0</v>
      </c>
      <c r="J49" s="17">
        <v>0</v>
      </c>
      <c r="K49" s="17">
        <v>0</v>
      </c>
      <c r="L49" s="146" t="s">
        <v>365</v>
      </c>
      <c r="M49" s="146" t="s">
        <v>593</v>
      </c>
      <c r="N49" s="146" t="s">
        <v>367</v>
      </c>
      <c r="O49" s="146" t="s">
        <v>594</v>
      </c>
      <c r="P49" s="146" t="s">
        <v>595</v>
      </c>
      <c r="Q49" s="146" t="s">
        <v>370</v>
      </c>
      <c r="R49" s="30" t="str">
        <f t="shared" si="2"/>
        <v>IL</v>
      </c>
      <c r="S49" s="30" t="str">
        <f t="shared" si="3"/>
        <v>IN</v>
      </c>
      <c r="T49" s="30" t="str">
        <f t="shared" si="4"/>
        <v>MI</v>
      </c>
      <c r="U49" s="30" t="str">
        <f t="shared" si="5"/>
        <v>MN</v>
      </c>
      <c r="V49" s="30" t="str">
        <f t="shared" si="6"/>
        <v>OH</v>
      </c>
      <c r="W49" s="30" t="str">
        <f t="shared" si="7"/>
        <v>WI</v>
      </c>
      <c r="X49" s="30" t="str">
        <f t="shared" si="1"/>
        <v>ILINMIMNOHWI</v>
      </c>
    </row>
    <row r="50" spans="1:24" s="18" customFormat="1" ht="24.2" x14ac:dyDescent="0.25">
      <c r="A50" s="51" t="str">
        <f>IF(ISNA(VLOOKUP(B50,Shortlist_xref!$A$5:$B$77,2,FALSE))=TRUE,"-",VLOOKUP(B50,Shortlist_xref!$A$5:$B$77,2,FALSE))</f>
        <v>-</v>
      </c>
      <c r="B50" s="3" t="s">
        <v>455</v>
      </c>
      <c r="C50" s="5" t="s">
        <v>456</v>
      </c>
      <c r="D50" s="5" t="s">
        <v>21</v>
      </c>
      <c r="E50" s="12" t="s">
        <v>12</v>
      </c>
      <c r="F50" s="17">
        <v>0</v>
      </c>
      <c r="G50" s="17">
        <v>0</v>
      </c>
      <c r="H50" s="17">
        <v>1189.7025000000001</v>
      </c>
      <c r="I50" s="17">
        <v>41.146008082199991</v>
      </c>
      <c r="J50" s="17">
        <v>0</v>
      </c>
      <c r="K50" s="17">
        <v>0</v>
      </c>
      <c r="L50" s="146" t="s">
        <v>381</v>
      </c>
      <c r="M50" s="146" t="s">
        <v>381</v>
      </c>
      <c r="N50" s="146" t="s">
        <v>381</v>
      </c>
      <c r="O50" s="146" t="s">
        <v>381</v>
      </c>
      <c r="P50" s="146" t="s">
        <v>381</v>
      </c>
      <c r="Q50" s="146" t="s">
        <v>381</v>
      </c>
      <c r="R50" s="30" t="str">
        <f t="shared" si="2"/>
        <v/>
      </c>
      <c r="S50" s="30" t="str">
        <f t="shared" si="3"/>
        <v/>
      </c>
      <c r="T50" s="30" t="str">
        <f t="shared" si="4"/>
        <v/>
      </c>
      <c r="U50" s="30" t="str">
        <f t="shared" si="5"/>
        <v/>
      </c>
      <c r="V50" s="30" t="str">
        <f t="shared" si="6"/>
        <v/>
      </c>
      <c r="W50" s="30" t="str">
        <f t="shared" si="7"/>
        <v/>
      </c>
      <c r="X50" s="30" t="str">
        <f t="shared" si="1"/>
        <v/>
      </c>
    </row>
    <row r="51" spans="1:24" s="18" customFormat="1" ht="120.4" x14ac:dyDescent="0.25">
      <c r="A51" s="51" t="str">
        <f>IF(ISNA(VLOOKUP(B51,Shortlist_xref!$A$5:$B$77,2,FALSE))=TRUE,"-",VLOOKUP(B51,Shortlist_xref!$A$5:$B$77,2,FALSE))</f>
        <v>-</v>
      </c>
      <c r="B51" s="3" t="s">
        <v>457</v>
      </c>
      <c r="C51" s="5" t="s">
        <v>458</v>
      </c>
      <c r="D51" s="5" t="s">
        <v>18</v>
      </c>
      <c r="E51" s="12" t="s">
        <v>12</v>
      </c>
      <c r="F51" s="17">
        <v>0.19249864999999999</v>
      </c>
      <c r="G51" s="17">
        <v>0</v>
      </c>
      <c r="H51" s="17">
        <v>0</v>
      </c>
      <c r="I51" s="17">
        <v>0</v>
      </c>
      <c r="J51" s="17">
        <v>2.2015500000000001</v>
      </c>
      <c r="K51" s="17">
        <v>0</v>
      </c>
      <c r="L51" s="146" t="s">
        <v>365</v>
      </c>
      <c r="M51" s="146" t="s">
        <v>593</v>
      </c>
      <c r="N51" s="146" t="s">
        <v>367</v>
      </c>
      <c r="O51" s="146" t="s">
        <v>594</v>
      </c>
      <c r="P51" s="146" t="s">
        <v>595</v>
      </c>
      <c r="Q51" s="146" t="s">
        <v>370</v>
      </c>
      <c r="R51" s="30" t="str">
        <f t="shared" si="2"/>
        <v>IL</v>
      </c>
      <c r="S51" s="30" t="str">
        <f t="shared" si="3"/>
        <v>IN</v>
      </c>
      <c r="T51" s="30" t="str">
        <f t="shared" si="4"/>
        <v>MI</v>
      </c>
      <c r="U51" s="30" t="str">
        <f t="shared" si="5"/>
        <v>MN</v>
      </c>
      <c r="V51" s="30" t="str">
        <f t="shared" si="6"/>
        <v>OH</v>
      </c>
      <c r="W51" s="30" t="str">
        <f t="shared" si="7"/>
        <v>WI</v>
      </c>
      <c r="X51" s="30" t="str">
        <f t="shared" si="1"/>
        <v>ILINMIMNOHWI</v>
      </c>
    </row>
    <row r="52" spans="1:24" s="18" customFormat="1" ht="24.2" x14ac:dyDescent="0.25">
      <c r="A52" s="51" t="str">
        <f>IF(ISNA(VLOOKUP(B52,Shortlist_xref!$A$5:$B$77,2,FALSE))=TRUE,"-",VLOOKUP(B52,Shortlist_xref!$A$5:$B$77,2,FALSE))</f>
        <v>-</v>
      </c>
      <c r="B52" s="3" t="s">
        <v>459</v>
      </c>
      <c r="C52" s="5" t="s">
        <v>460</v>
      </c>
      <c r="D52" s="5" t="s">
        <v>434</v>
      </c>
      <c r="E52" s="12" t="s">
        <v>12</v>
      </c>
      <c r="F52" s="17">
        <v>0</v>
      </c>
      <c r="G52" s="17">
        <v>0</v>
      </c>
      <c r="H52" s="17">
        <v>0</v>
      </c>
      <c r="I52" s="17">
        <v>0</v>
      </c>
      <c r="J52" s="17">
        <v>0</v>
      </c>
      <c r="K52" s="17">
        <v>0</v>
      </c>
      <c r="L52" s="146" t="s">
        <v>381</v>
      </c>
      <c r="M52" s="146" t="s">
        <v>381</v>
      </c>
      <c r="N52" s="146" t="s">
        <v>381</v>
      </c>
      <c r="O52" s="146" t="s">
        <v>381</v>
      </c>
      <c r="P52" s="146" t="s">
        <v>381</v>
      </c>
      <c r="Q52" s="146" t="s">
        <v>381</v>
      </c>
      <c r="R52" s="30" t="str">
        <f t="shared" si="2"/>
        <v/>
      </c>
      <c r="S52" s="30" t="str">
        <f t="shared" si="3"/>
        <v/>
      </c>
      <c r="T52" s="30" t="str">
        <f t="shared" si="4"/>
        <v/>
      </c>
      <c r="U52" s="30" t="str">
        <f t="shared" si="5"/>
        <v/>
      </c>
      <c r="V52" s="30" t="str">
        <f t="shared" si="6"/>
        <v/>
      </c>
      <c r="W52" s="30" t="str">
        <f t="shared" si="7"/>
        <v/>
      </c>
      <c r="X52" s="30" t="str">
        <f t="shared" si="1"/>
        <v/>
      </c>
    </row>
    <row r="53" spans="1:24" s="18" customFormat="1" x14ac:dyDescent="0.25">
      <c r="A53" s="51" t="str">
        <f>IF(ISNA(VLOOKUP(B53,Shortlist_xref!$A$5:$B$77,2,FALSE))=TRUE,"-",VLOOKUP(B53,Shortlist_xref!$A$5:$B$77,2,FALSE))</f>
        <v>-</v>
      </c>
      <c r="B53" s="3" t="s">
        <v>461</v>
      </c>
      <c r="C53" s="5" t="s">
        <v>462</v>
      </c>
      <c r="D53" s="5" t="s">
        <v>26</v>
      </c>
      <c r="E53" s="12" t="s">
        <v>12</v>
      </c>
      <c r="F53" s="17">
        <v>0.14319414000000003</v>
      </c>
      <c r="G53" s="17">
        <v>119.53846709999999</v>
      </c>
      <c r="H53" s="17">
        <v>1.3560300000000001</v>
      </c>
      <c r="I53" s="17">
        <v>0</v>
      </c>
      <c r="J53" s="17">
        <v>4.6079100000000004</v>
      </c>
      <c r="K53" s="17">
        <v>0</v>
      </c>
      <c r="L53" s="146" t="s">
        <v>381</v>
      </c>
      <c r="M53" s="146" t="s">
        <v>381</v>
      </c>
      <c r="N53" s="146" t="s">
        <v>381</v>
      </c>
      <c r="O53" s="146" t="s">
        <v>381</v>
      </c>
      <c r="P53" s="146" t="s">
        <v>381</v>
      </c>
      <c r="Q53" s="146" t="s">
        <v>381</v>
      </c>
      <c r="R53" s="30" t="str">
        <f t="shared" si="2"/>
        <v/>
      </c>
      <c r="S53" s="30" t="str">
        <f t="shared" si="3"/>
        <v/>
      </c>
      <c r="T53" s="30" t="str">
        <f t="shared" si="4"/>
        <v/>
      </c>
      <c r="U53" s="30" t="str">
        <f t="shared" si="5"/>
        <v/>
      </c>
      <c r="V53" s="30" t="str">
        <f t="shared" si="6"/>
        <v/>
      </c>
      <c r="W53" s="30" t="str">
        <f t="shared" si="7"/>
        <v/>
      </c>
      <c r="X53" s="30" t="str">
        <f t="shared" si="1"/>
        <v/>
      </c>
    </row>
    <row r="54" spans="1:24" s="18" customFormat="1" ht="36.299999999999997" x14ac:dyDescent="0.25">
      <c r="A54" s="51" t="str">
        <f>IF(ISNA(VLOOKUP(B54,Shortlist_xref!$A$5:$B$77,2,FALSE))=TRUE,"-",VLOOKUP(B54,Shortlist_xref!$A$5:$B$77,2,FALSE))</f>
        <v>-</v>
      </c>
      <c r="B54" s="3" t="s">
        <v>463</v>
      </c>
      <c r="C54" s="5" t="s">
        <v>462</v>
      </c>
      <c r="D54" s="5" t="s">
        <v>357</v>
      </c>
      <c r="E54" s="12" t="s">
        <v>12</v>
      </c>
      <c r="F54" s="17" t="s">
        <v>37</v>
      </c>
      <c r="G54" s="17" t="s">
        <v>37</v>
      </c>
      <c r="H54" s="17" t="s">
        <v>37</v>
      </c>
      <c r="I54" s="17" t="s">
        <v>37</v>
      </c>
      <c r="J54" s="17" t="s">
        <v>37</v>
      </c>
      <c r="K54" s="17" t="s">
        <v>37</v>
      </c>
      <c r="L54" s="146" t="s">
        <v>381</v>
      </c>
      <c r="M54" s="146" t="s">
        <v>381</v>
      </c>
      <c r="N54" s="146" t="s">
        <v>381</v>
      </c>
      <c r="O54" s="146" t="s">
        <v>381</v>
      </c>
      <c r="P54" s="146" t="s">
        <v>381</v>
      </c>
      <c r="Q54" s="146" t="s">
        <v>381</v>
      </c>
      <c r="R54" s="30" t="str">
        <f t="shared" si="2"/>
        <v/>
      </c>
      <c r="S54" s="30" t="str">
        <f t="shared" si="3"/>
        <v/>
      </c>
      <c r="T54" s="30" t="str">
        <f t="shared" si="4"/>
        <v/>
      </c>
      <c r="U54" s="30" t="str">
        <f t="shared" si="5"/>
        <v/>
      </c>
      <c r="V54" s="30" t="str">
        <f t="shared" si="6"/>
        <v/>
      </c>
      <c r="W54" s="30" t="str">
        <f t="shared" si="7"/>
        <v/>
      </c>
      <c r="X54" s="30" t="str">
        <f t="shared" si="1"/>
        <v/>
      </c>
    </row>
    <row r="55" spans="1:24" s="18" customFormat="1" ht="120.4" x14ac:dyDescent="0.25">
      <c r="A55" s="51" t="str">
        <f>IF(ISNA(VLOOKUP(B55,Shortlist_xref!$A$5:$B$77,2,FALSE))=TRUE,"-",VLOOKUP(B55,Shortlist_xref!$A$5:$B$77,2,FALSE))</f>
        <v>-</v>
      </c>
      <c r="B55" s="3" t="s">
        <v>464</v>
      </c>
      <c r="C55" s="5" t="s">
        <v>465</v>
      </c>
      <c r="D55" s="5" t="s">
        <v>466</v>
      </c>
      <c r="E55" s="12" t="s">
        <v>12</v>
      </c>
      <c r="F55" s="17">
        <v>170.95682068291322</v>
      </c>
      <c r="G55" s="17">
        <v>78.758088860081983</v>
      </c>
      <c r="H55" s="17">
        <v>272.63444126884133</v>
      </c>
      <c r="I55" s="17">
        <v>38.57289958500705</v>
      </c>
      <c r="J55" s="17">
        <v>220.03504685879113</v>
      </c>
      <c r="K55" s="17">
        <v>1.8569050755162491</v>
      </c>
      <c r="L55" s="146" t="s">
        <v>365</v>
      </c>
      <c r="M55" s="146" t="s">
        <v>366</v>
      </c>
      <c r="N55" s="146" t="s">
        <v>367</v>
      </c>
      <c r="O55" s="146" t="s">
        <v>368</v>
      </c>
      <c r="P55" s="146" t="s">
        <v>369</v>
      </c>
      <c r="Q55" s="146" t="s">
        <v>370</v>
      </c>
      <c r="R55" s="30" t="str">
        <f t="shared" si="2"/>
        <v>IL</v>
      </c>
      <c r="S55" s="30" t="str">
        <f t="shared" si="3"/>
        <v>IN</v>
      </c>
      <c r="T55" s="30" t="str">
        <f t="shared" si="4"/>
        <v>MI</v>
      </c>
      <c r="U55" s="30" t="str">
        <f t="shared" si="5"/>
        <v>MN</v>
      </c>
      <c r="V55" s="30" t="str">
        <f t="shared" si="6"/>
        <v>OH</v>
      </c>
      <c r="W55" s="30" t="str">
        <f t="shared" si="7"/>
        <v>WI</v>
      </c>
      <c r="X55" s="30" t="str">
        <f t="shared" si="1"/>
        <v>ILINMIMNOHWI</v>
      </c>
    </row>
    <row r="56" spans="1:24" s="18" customFormat="1" ht="120.4" x14ac:dyDescent="0.25">
      <c r="A56" s="51" t="str">
        <f>IF(ISNA(VLOOKUP(B56,Shortlist_xref!$A$5:$B$77,2,FALSE))=TRUE,"-",VLOOKUP(B56,Shortlist_xref!$A$5:$B$77,2,FALSE))</f>
        <v>C-E</v>
      </c>
      <c r="B56" s="3" t="s">
        <v>42</v>
      </c>
      <c r="C56" s="5" t="s">
        <v>43</v>
      </c>
      <c r="D56" s="5" t="s">
        <v>44</v>
      </c>
      <c r="E56" s="12" t="s">
        <v>12</v>
      </c>
      <c r="F56" s="17">
        <v>9.7109066066947207</v>
      </c>
      <c r="G56" s="17">
        <v>15.135360171996368</v>
      </c>
      <c r="H56" s="17">
        <v>210.94075859659125</v>
      </c>
      <c r="I56" s="17">
        <v>0.33901451621150969</v>
      </c>
      <c r="J56" s="17">
        <v>9.5529971892570398</v>
      </c>
      <c r="K56" s="17">
        <v>0.13347933268243711</v>
      </c>
      <c r="L56" s="146" t="s">
        <v>365</v>
      </c>
      <c r="M56" s="146" t="s">
        <v>366</v>
      </c>
      <c r="N56" s="146" t="s">
        <v>367</v>
      </c>
      <c r="O56" s="146" t="s">
        <v>368</v>
      </c>
      <c r="P56" s="146" t="s">
        <v>369</v>
      </c>
      <c r="Q56" s="146" t="s">
        <v>370</v>
      </c>
      <c r="R56" s="30" t="str">
        <f t="shared" si="2"/>
        <v>IL</v>
      </c>
      <c r="S56" s="30" t="str">
        <f t="shared" si="3"/>
        <v>IN</v>
      </c>
      <c r="T56" s="30" t="str">
        <f t="shared" si="4"/>
        <v>MI</v>
      </c>
      <c r="U56" s="30" t="str">
        <f t="shared" si="5"/>
        <v>MN</v>
      </c>
      <c r="V56" s="30" t="str">
        <f t="shared" si="6"/>
        <v>OH</v>
      </c>
      <c r="W56" s="30" t="str">
        <f t="shared" si="7"/>
        <v>WI</v>
      </c>
      <c r="X56" s="30" t="str">
        <f t="shared" si="1"/>
        <v>ILINMIMNOHWI</v>
      </c>
    </row>
    <row r="57" spans="1:24" s="18" customFormat="1" ht="120.4" x14ac:dyDescent="0.25">
      <c r="A57" s="51" t="str">
        <f>IF(ISNA(VLOOKUP(B57,Shortlist_xref!$A$5:$B$77,2,FALSE))=TRUE,"-",VLOOKUP(B57,Shortlist_xref!$A$5:$B$77,2,FALSE))</f>
        <v>-</v>
      </c>
      <c r="B57" s="3" t="s">
        <v>467</v>
      </c>
      <c r="C57" s="5" t="s">
        <v>45</v>
      </c>
      <c r="D57" s="5" t="s">
        <v>468</v>
      </c>
      <c r="E57" s="12" t="s">
        <v>12</v>
      </c>
      <c r="F57" s="17">
        <v>119.48557757538734</v>
      </c>
      <c r="G57" s="17">
        <v>539.8532165017632</v>
      </c>
      <c r="H57" s="17">
        <v>548.05228997010306</v>
      </c>
      <c r="I57" s="17">
        <v>157.73919684887164</v>
      </c>
      <c r="J57" s="17">
        <v>315.09023826524117</v>
      </c>
      <c r="K57" s="17">
        <v>31.090328697113122</v>
      </c>
      <c r="L57" s="146" t="s">
        <v>365</v>
      </c>
      <c r="M57" s="146" t="s">
        <v>366</v>
      </c>
      <c r="N57" s="146" t="s">
        <v>367</v>
      </c>
      <c r="O57" s="146" t="s">
        <v>368</v>
      </c>
      <c r="P57" s="146" t="s">
        <v>369</v>
      </c>
      <c r="Q57" s="146" t="s">
        <v>370</v>
      </c>
      <c r="R57" s="30" t="str">
        <f t="shared" si="2"/>
        <v>IL</v>
      </c>
      <c r="S57" s="30" t="str">
        <f t="shared" si="3"/>
        <v>IN</v>
      </c>
      <c r="T57" s="30" t="str">
        <f t="shared" si="4"/>
        <v>MI</v>
      </c>
      <c r="U57" s="30" t="str">
        <f t="shared" si="5"/>
        <v>MN</v>
      </c>
      <c r="V57" s="30" t="str">
        <f t="shared" si="6"/>
        <v>OH</v>
      </c>
      <c r="W57" s="30" t="str">
        <f t="shared" si="7"/>
        <v>WI</v>
      </c>
      <c r="X57" s="30" t="str">
        <f t="shared" si="1"/>
        <v>ILINMIMNOHWI</v>
      </c>
    </row>
    <row r="58" spans="1:24" s="18" customFormat="1" ht="120.4" x14ac:dyDescent="0.25">
      <c r="A58" s="51" t="str">
        <f>IF(ISNA(VLOOKUP(B58,Shortlist_xref!$A$5:$B$77,2,FALSE))=TRUE,"-",VLOOKUP(B58,Shortlist_xref!$A$5:$B$77,2,FALSE))</f>
        <v>EmissRed</v>
      </c>
      <c r="B58" s="3" t="s">
        <v>46</v>
      </c>
      <c r="C58" s="5" t="s">
        <v>45</v>
      </c>
      <c r="D58" s="5" t="s">
        <v>47</v>
      </c>
      <c r="E58" s="12" t="s">
        <v>12</v>
      </c>
      <c r="F58" s="17">
        <v>707.1059329818122</v>
      </c>
      <c r="G58" s="17">
        <v>636.5716194415038</v>
      </c>
      <c r="H58" s="17">
        <v>865.85926578615033</v>
      </c>
      <c r="I58" s="17">
        <v>197.75765631381063</v>
      </c>
      <c r="J58" s="17">
        <v>1091.6065188031996</v>
      </c>
      <c r="K58" s="17">
        <v>52.180656673992758</v>
      </c>
      <c r="L58" s="146" t="s">
        <v>365</v>
      </c>
      <c r="M58" s="146" t="s">
        <v>366</v>
      </c>
      <c r="N58" s="146" t="s">
        <v>367</v>
      </c>
      <c r="O58" s="146" t="s">
        <v>368</v>
      </c>
      <c r="P58" s="146" t="s">
        <v>369</v>
      </c>
      <c r="Q58" s="146" t="s">
        <v>370</v>
      </c>
      <c r="R58" s="30" t="str">
        <f t="shared" si="2"/>
        <v>IL</v>
      </c>
      <c r="S58" s="30" t="str">
        <f t="shared" si="3"/>
        <v>IN</v>
      </c>
      <c r="T58" s="30" t="str">
        <f t="shared" si="4"/>
        <v>MI</v>
      </c>
      <c r="U58" s="30" t="str">
        <f t="shared" si="5"/>
        <v>MN</v>
      </c>
      <c r="V58" s="30" t="str">
        <f t="shared" si="6"/>
        <v>OH</v>
      </c>
      <c r="W58" s="30" t="str">
        <f t="shared" si="7"/>
        <v>WI</v>
      </c>
      <c r="X58" s="30" t="str">
        <f t="shared" si="1"/>
        <v>ILINMIMNOHWI</v>
      </c>
    </row>
    <row r="59" spans="1:24" s="18" customFormat="1" ht="120.4" x14ac:dyDescent="0.25">
      <c r="A59" s="51" t="str">
        <f>IF(ISNA(VLOOKUP(B59,Shortlist_xref!$A$5:$B$77,2,FALSE))=TRUE,"-",VLOOKUP(B59,Shortlist_xref!$A$5:$B$77,2,FALSE))</f>
        <v>EmissRed</v>
      </c>
      <c r="B59" s="3" t="s">
        <v>48</v>
      </c>
      <c r="C59" s="5" t="s">
        <v>45</v>
      </c>
      <c r="D59" s="5" t="s">
        <v>44</v>
      </c>
      <c r="E59" s="12" t="s">
        <v>12</v>
      </c>
      <c r="F59" s="17">
        <v>123.60576990557311</v>
      </c>
      <c r="G59" s="17">
        <v>558.46884465699634</v>
      </c>
      <c r="H59" s="17">
        <v>566.95064479665837</v>
      </c>
      <c r="I59" s="17">
        <v>163.17847949883276</v>
      </c>
      <c r="J59" s="17">
        <v>325.95541889507706</v>
      </c>
      <c r="K59" s="17">
        <v>32.162408997013578</v>
      </c>
      <c r="L59" s="146" t="s">
        <v>365</v>
      </c>
      <c r="M59" s="146" t="s">
        <v>366</v>
      </c>
      <c r="N59" s="146" t="s">
        <v>367</v>
      </c>
      <c r="O59" s="146" t="s">
        <v>368</v>
      </c>
      <c r="P59" s="146" t="s">
        <v>369</v>
      </c>
      <c r="Q59" s="146" t="s">
        <v>370</v>
      </c>
      <c r="R59" s="30" t="str">
        <f t="shared" si="2"/>
        <v>IL</v>
      </c>
      <c r="S59" s="30" t="str">
        <f t="shared" si="3"/>
        <v>IN</v>
      </c>
      <c r="T59" s="30" t="str">
        <f t="shared" si="4"/>
        <v>MI</v>
      </c>
      <c r="U59" s="30" t="str">
        <f t="shared" si="5"/>
        <v>MN</v>
      </c>
      <c r="V59" s="30" t="str">
        <f t="shared" si="6"/>
        <v>OH</v>
      </c>
      <c r="W59" s="30" t="str">
        <f t="shared" si="7"/>
        <v>WI</v>
      </c>
      <c r="X59" s="30" t="str">
        <f t="shared" si="1"/>
        <v>ILINMIMNOHWI</v>
      </c>
    </row>
    <row r="60" spans="1:24" s="18" customFormat="1" ht="120.4" x14ac:dyDescent="0.25">
      <c r="A60" s="51" t="str">
        <f>IF(ISNA(VLOOKUP(B60,Shortlist_xref!$A$5:$B$77,2,FALSE))=TRUE,"-",VLOOKUP(B60,Shortlist_xref!$A$5:$B$77,2,FALSE))</f>
        <v>EmissRed</v>
      </c>
      <c r="B60" s="3" t="s">
        <v>49</v>
      </c>
      <c r="C60" s="5" t="s">
        <v>45</v>
      </c>
      <c r="D60" s="5" t="s">
        <v>21</v>
      </c>
      <c r="E60" s="12" t="s">
        <v>12</v>
      </c>
      <c r="F60" s="17">
        <v>690.85062417763254</v>
      </c>
      <c r="G60" s="17">
        <v>621.93778910951517</v>
      </c>
      <c r="H60" s="17">
        <v>845.9544550784226</v>
      </c>
      <c r="I60" s="17">
        <v>193.21150329510232</v>
      </c>
      <c r="J60" s="17">
        <v>1067.6635342659215</v>
      </c>
      <c r="K60" s="17">
        <v>50.98110134815385</v>
      </c>
      <c r="L60" s="146" t="s">
        <v>365</v>
      </c>
      <c r="M60" s="146" t="s">
        <v>366</v>
      </c>
      <c r="N60" s="146" t="s">
        <v>367</v>
      </c>
      <c r="O60" s="146" t="s">
        <v>368</v>
      </c>
      <c r="P60" s="146" t="s">
        <v>369</v>
      </c>
      <c r="Q60" s="146" t="s">
        <v>370</v>
      </c>
      <c r="R60" s="30" t="str">
        <f t="shared" si="2"/>
        <v>IL</v>
      </c>
      <c r="S60" s="30" t="str">
        <f t="shared" si="3"/>
        <v>IN</v>
      </c>
      <c r="T60" s="30" t="str">
        <f t="shared" si="4"/>
        <v>MI</v>
      </c>
      <c r="U60" s="30" t="str">
        <f t="shared" si="5"/>
        <v>MN</v>
      </c>
      <c r="V60" s="30" t="str">
        <f t="shared" si="6"/>
        <v>OH</v>
      </c>
      <c r="W60" s="30" t="str">
        <f t="shared" si="7"/>
        <v>WI</v>
      </c>
      <c r="X60" s="30" t="str">
        <f t="shared" si="1"/>
        <v>ILINMIMNOHWI</v>
      </c>
    </row>
    <row r="61" spans="1:24" s="18" customFormat="1" ht="120.4" x14ac:dyDescent="0.25">
      <c r="A61" s="51" t="str">
        <f>IF(ISNA(VLOOKUP(B61,Shortlist_xref!$A$5:$B$77,2,FALSE))=TRUE,"-",VLOOKUP(B61,Shortlist_xref!$A$5:$B$77,2,FALSE))</f>
        <v>-</v>
      </c>
      <c r="B61" s="3" t="s">
        <v>50</v>
      </c>
      <c r="C61" s="5" t="s">
        <v>469</v>
      </c>
      <c r="D61" s="5" t="s">
        <v>21</v>
      </c>
      <c r="E61" s="12" t="s">
        <v>12</v>
      </c>
      <c r="F61" s="17">
        <v>55.94842669461309</v>
      </c>
      <c r="G61" s="17">
        <v>0.11054772</v>
      </c>
      <c r="H61" s="17">
        <v>2.8346300332392563E-2</v>
      </c>
      <c r="I61" s="17">
        <v>0</v>
      </c>
      <c r="J61" s="17">
        <v>9.9160733327992006</v>
      </c>
      <c r="K61" s="17">
        <v>0</v>
      </c>
      <c r="L61" s="146" t="s">
        <v>365</v>
      </c>
      <c r="M61" s="146" t="s">
        <v>366</v>
      </c>
      <c r="N61" s="146" t="s">
        <v>367</v>
      </c>
      <c r="O61" s="146" t="s">
        <v>368</v>
      </c>
      <c r="P61" s="146" t="s">
        <v>369</v>
      </c>
      <c r="Q61" s="146" t="s">
        <v>370</v>
      </c>
      <c r="R61" s="30" t="str">
        <f t="shared" si="2"/>
        <v>IL</v>
      </c>
      <c r="S61" s="30" t="str">
        <f t="shared" si="3"/>
        <v>IN</v>
      </c>
      <c r="T61" s="30" t="str">
        <f t="shared" si="4"/>
        <v>MI</v>
      </c>
      <c r="U61" s="30" t="str">
        <f t="shared" si="5"/>
        <v>MN</v>
      </c>
      <c r="V61" s="30" t="str">
        <f t="shared" si="6"/>
        <v>OH</v>
      </c>
      <c r="W61" s="30" t="str">
        <f t="shared" si="7"/>
        <v>WI</v>
      </c>
      <c r="X61" s="30" t="str">
        <f t="shared" si="1"/>
        <v>ILINMIMNOHWI</v>
      </c>
    </row>
    <row r="62" spans="1:24" s="18" customFormat="1" ht="109.45" x14ac:dyDescent="0.25">
      <c r="A62" s="51" t="str">
        <f>IF(ISNA(VLOOKUP(B62,Shortlist_xref!$A$5:$B$77,2,FALSE))=TRUE,"-",VLOOKUP(B62,Shortlist_xref!$A$5:$B$77,2,FALSE))</f>
        <v>-</v>
      </c>
      <c r="B62" s="3" t="s">
        <v>470</v>
      </c>
      <c r="C62" s="5" t="s">
        <v>356</v>
      </c>
      <c r="D62" s="5" t="s">
        <v>26</v>
      </c>
      <c r="E62" s="12" t="s">
        <v>12</v>
      </c>
      <c r="F62" s="17">
        <v>0</v>
      </c>
      <c r="G62" s="17">
        <v>0</v>
      </c>
      <c r="H62" s="17">
        <v>0</v>
      </c>
      <c r="I62" s="17">
        <v>0</v>
      </c>
      <c r="J62" s="17">
        <v>0</v>
      </c>
      <c r="K62" s="17">
        <v>0</v>
      </c>
      <c r="L62" s="146" t="s">
        <v>596</v>
      </c>
      <c r="M62" s="146" t="s">
        <v>597</v>
      </c>
      <c r="N62" s="146" t="s">
        <v>598</v>
      </c>
      <c r="O62" s="146" t="s">
        <v>599</v>
      </c>
      <c r="P62" s="146" t="s">
        <v>600</v>
      </c>
      <c r="Q62" s="146" t="s">
        <v>601</v>
      </c>
      <c r="R62" s="30" t="str">
        <f t="shared" si="2"/>
        <v>IL</v>
      </c>
      <c r="S62" s="30" t="str">
        <f t="shared" si="3"/>
        <v>IN</v>
      </c>
      <c r="T62" s="30" t="str">
        <f t="shared" si="4"/>
        <v>MI</v>
      </c>
      <c r="U62" s="30" t="str">
        <f t="shared" si="5"/>
        <v>MN</v>
      </c>
      <c r="V62" s="30" t="str">
        <f t="shared" si="6"/>
        <v>OH</v>
      </c>
      <c r="W62" s="30" t="str">
        <f t="shared" si="7"/>
        <v>WI</v>
      </c>
      <c r="X62" s="30" t="str">
        <f t="shared" si="1"/>
        <v>ILINMIMNOHWI</v>
      </c>
    </row>
    <row r="63" spans="1:24" s="18" customFormat="1" ht="109.45" x14ac:dyDescent="0.25">
      <c r="A63" s="51" t="str">
        <f>IF(ISNA(VLOOKUP(B63,Shortlist_xref!$A$5:$B$77,2,FALSE))=TRUE,"-",VLOOKUP(B63,Shortlist_xref!$A$5:$B$77,2,FALSE))</f>
        <v>EmissRed</v>
      </c>
      <c r="B63" s="3" t="s">
        <v>355</v>
      </c>
      <c r="C63" s="5" t="s">
        <v>356</v>
      </c>
      <c r="D63" s="5" t="s">
        <v>357</v>
      </c>
      <c r="E63" s="12" t="s">
        <v>12</v>
      </c>
      <c r="F63" s="17">
        <v>826.81267954247312</v>
      </c>
      <c r="G63" s="17">
        <v>739.90970015358869</v>
      </c>
      <c r="H63" s="17">
        <v>1024.031850214059</v>
      </c>
      <c r="I63" s="17">
        <v>277.64825137695789</v>
      </c>
      <c r="J63" s="17">
        <v>1148.9761137061682</v>
      </c>
      <c r="K63" s="17">
        <v>61.425823683703179</v>
      </c>
      <c r="L63" s="146" t="s">
        <v>596</v>
      </c>
      <c r="M63" s="146" t="s">
        <v>597</v>
      </c>
      <c r="N63" s="146" t="s">
        <v>598</v>
      </c>
      <c r="O63" s="146" t="s">
        <v>599</v>
      </c>
      <c r="P63" s="146" t="s">
        <v>600</v>
      </c>
      <c r="Q63" s="146" t="s">
        <v>601</v>
      </c>
      <c r="R63" s="30" t="str">
        <f t="shared" si="2"/>
        <v>IL</v>
      </c>
      <c r="S63" s="30" t="str">
        <f t="shared" si="3"/>
        <v>IN</v>
      </c>
      <c r="T63" s="30" t="str">
        <f t="shared" si="4"/>
        <v>MI</v>
      </c>
      <c r="U63" s="30" t="str">
        <f t="shared" si="5"/>
        <v>MN</v>
      </c>
      <c r="V63" s="30" t="str">
        <f t="shared" si="6"/>
        <v>OH</v>
      </c>
      <c r="W63" s="30" t="str">
        <f t="shared" si="7"/>
        <v>WI</v>
      </c>
      <c r="X63" s="30" t="str">
        <f t="shared" si="1"/>
        <v>ILINMIMNOHWI</v>
      </c>
    </row>
    <row r="64" spans="1:24" s="18" customFormat="1" ht="120.4" x14ac:dyDescent="0.25">
      <c r="A64" s="51" t="str">
        <f>IF(ISNA(VLOOKUP(B64,Shortlist_xref!$A$5:$B$77,2,FALSE))=TRUE,"-",VLOOKUP(B64,Shortlist_xref!$A$5:$B$77,2,FALSE))</f>
        <v>-</v>
      </c>
      <c r="B64" s="3" t="s">
        <v>472</v>
      </c>
      <c r="C64" s="5" t="s">
        <v>473</v>
      </c>
      <c r="D64" s="5" t="s">
        <v>474</v>
      </c>
      <c r="E64" s="12" t="s">
        <v>12</v>
      </c>
      <c r="F64" s="17">
        <v>7.1038108796609407</v>
      </c>
      <c r="G64" s="17">
        <v>99.860956402500008</v>
      </c>
      <c r="H64" s="17">
        <v>91.441382250000004</v>
      </c>
      <c r="I64" s="17">
        <v>2.6257500000000003E-2</v>
      </c>
      <c r="J64" s="17">
        <v>2.1682200000000003</v>
      </c>
      <c r="K64" s="17">
        <v>2.152095375</v>
      </c>
      <c r="L64" s="146" t="s">
        <v>365</v>
      </c>
      <c r="M64" s="146" t="s">
        <v>593</v>
      </c>
      <c r="N64" s="146" t="s">
        <v>367</v>
      </c>
      <c r="O64" s="146" t="s">
        <v>594</v>
      </c>
      <c r="P64" s="146" t="s">
        <v>595</v>
      </c>
      <c r="Q64" s="146" t="s">
        <v>370</v>
      </c>
      <c r="R64" s="30" t="str">
        <f t="shared" si="2"/>
        <v>IL</v>
      </c>
      <c r="S64" s="30" t="str">
        <f t="shared" si="3"/>
        <v>IN</v>
      </c>
      <c r="T64" s="30" t="str">
        <f t="shared" si="4"/>
        <v>MI</v>
      </c>
      <c r="U64" s="30" t="str">
        <f t="shared" si="5"/>
        <v>MN</v>
      </c>
      <c r="V64" s="30" t="str">
        <f t="shared" si="6"/>
        <v>OH</v>
      </c>
      <c r="W64" s="30" t="str">
        <f t="shared" si="7"/>
        <v>WI</v>
      </c>
      <c r="X64" s="30" t="str">
        <f t="shared" si="1"/>
        <v>ILINMIMNOHWI</v>
      </c>
    </row>
    <row r="65" spans="1:24" s="18" customFormat="1" ht="120.4" x14ac:dyDescent="0.25">
      <c r="A65" s="51" t="str">
        <f>IF(ISNA(VLOOKUP(B65,Shortlist_xref!$A$5:$B$77,2,FALSE))=TRUE,"-",VLOOKUP(B65,Shortlist_xref!$A$5:$B$77,2,FALSE))</f>
        <v>-</v>
      </c>
      <c r="B65" s="3" t="s">
        <v>475</v>
      </c>
      <c r="C65" s="5" t="s">
        <v>476</v>
      </c>
      <c r="D65" s="5" t="s">
        <v>434</v>
      </c>
      <c r="E65" s="12" t="s">
        <v>12</v>
      </c>
      <c r="F65" s="17">
        <v>210.62368798270006</v>
      </c>
      <c r="G65" s="17">
        <v>66.924885310140823</v>
      </c>
      <c r="H65" s="17">
        <v>56.357146114091556</v>
      </c>
      <c r="I65" s="17">
        <v>56.026104124708894</v>
      </c>
      <c r="J65" s="17">
        <v>117.4516946987162</v>
      </c>
      <c r="K65" s="17">
        <v>23.776054022286306</v>
      </c>
      <c r="L65" s="146" t="s">
        <v>365</v>
      </c>
      <c r="M65" s="146" t="s">
        <v>593</v>
      </c>
      <c r="N65" s="146" t="s">
        <v>367</v>
      </c>
      <c r="O65" s="146" t="s">
        <v>594</v>
      </c>
      <c r="P65" s="146" t="s">
        <v>595</v>
      </c>
      <c r="Q65" s="146" t="s">
        <v>370</v>
      </c>
      <c r="R65" s="30" t="str">
        <f t="shared" si="2"/>
        <v>IL</v>
      </c>
      <c r="S65" s="30" t="str">
        <f t="shared" si="3"/>
        <v>IN</v>
      </c>
      <c r="T65" s="30" t="str">
        <f t="shared" si="4"/>
        <v>MI</v>
      </c>
      <c r="U65" s="30" t="str">
        <f t="shared" si="5"/>
        <v>MN</v>
      </c>
      <c r="V65" s="30" t="str">
        <f t="shared" si="6"/>
        <v>OH</v>
      </c>
      <c r="W65" s="30" t="str">
        <f t="shared" si="7"/>
        <v>WI</v>
      </c>
      <c r="X65" s="30" t="str">
        <f t="shared" si="1"/>
        <v>ILINMIMNOHWI</v>
      </c>
    </row>
    <row r="66" spans="1:24" s="18" customFormat="1" ht="120.4" x14ac:dyDescent="0.25">
      <c r="A66" s="51" t="str">
        <f>IF(ISNA(VLOOKUP(B66,Shortlist_xref!$A$5:$B$77,2,FALSE))=TRUE,"-",VLOOKUP(B66,Shortlist_xref!$A$5:$B$77,2,FALSE))</f>
        <v>-</v>
      </c>
      <c r="B66" s="3" t="s">
        <v>477</v>
      </c>
      <c r="C66" s="5" t="s">
        <v>478</v>
      </c>
      <c r="D66" s="5" t="s">
        <v>441</v>
      </c>
      <c r="E66" s="12" t="s">
        <v>12</v>
      </c>
      <c r="F66" s="17">
        <v>20.477909082278661</v>
      </c>
      <c r="G66" s="17">
        <v>5.2683960701222912</v>
      </c>
      <c r="H66" s="17">
        <v>4.230653012100702</v>
      </c>
      <c r="I66" s="17">
        <v>21.490193271427753</v>
      </c>
      <c r="J66" s="17">
        <v>10.086331184015247</v>
      </c>
      <c r="K66" s="17">
        <v>1.0495734817873581</v>
      </c>
      <c r="L66" s="146" t="s">
        <v>365</v>
      </c>
      <c r="M66" s="146" t="s">
        <v>593</v>
      </c>
      <c r="N66" s="146" t="s">
        <v>367</v>
      </c>
      <c r="O66" s="146" t="s">
        <v>594</v>
      </c>
      <c r="P66" s="146" t="s">
        <v>595</v>
      </c>
      <c r="Q66" s="146" t="s">
        <v>370</v>
      </c>
      <c r="R66" s="30" t="str">
        <f t="shared" si="2"/>
        <v>IL</v>
      </c>
      <c r="S66" s="30" t="str">
        <f t="shared" si="3"/>
        <v>IN</v>
      </c>
      <c r="T66" s="30" t="str">
        <f t="shared" si="4"/>
        <v>MI</v>
      </c>
      <c r="U66" s="30" t="str">
        <f t="shared" si="5"/>
        <v>MN</v>
      </c>
      <c r="V66" s="30" t="str">
        <f t="shared" si="6"/>
        <v>OH</v>
      </c>
      <c r="W66" s="30" t="str">
        <f t="shared" si="7"/>
        <v>WI</v>
      </c>
      <c r="X66" s="30" t="str">
        <f t="shared" si="1"/>
        <v>ILINMIMNOHWI</v>
      </c>
    </row>
    <row r="67" spans="1:24" s="18" customFormat="1" ht="120.4" x14ac:dyDescent="0.25">
      <c r="A67" s="51" t="str">
        <f>IF(ISNA(VLOOKUP(B67,Shortlist_xref!$A$5:$B$77,2,FALSE))=TRUE,"-",VLOOKUP(B67,Shortlist_xref!$A$5:$B$77,2,FALSE))</f>
        <v>-</v>
      </c>
      <c r="B67" s="3" t="s">
        <v>479</v>
      </c>
      <c r="C67" s="5" t="s">
        <v>478</v>
      </c>
      <c r="D67" s="5" t="s">
        <v>21</v>
      </c>
      <c r="E67" s="12" t="s">
        <v>12</v>
      </c>
      <c r="F67" s="17">
        <v>113.58694908576392</v>
      </c>
      <c r="G67" s="17">
        <v>4.3964570015354587</v>
      </c>
      <c r="H67" s="17">
        <v>23.344079886826677</v>
      </c>
      <c r="I67" s="17">
        <v>0.17879250000000002</v>
      </c>
      <c r="J67" s="17">
        <v>62.431174371630341</v>
      </c>
      <c r="K67" s="17">
        <v>1.7239407031599439</v>
      </c>
      <c r="L67" s="146" t="s">
        <v>365</v>
      </c>
      <c r="M67" s="146" t="s">
        <v>593</v>
      </c>
      <c r="N67" s="146" t="s">
        <v>367</v>
      </c>
      <c r="O67" s="146" t="s">
        <v>594</v>
      </c>
      <c r="P67" s="146" t="s">
        <v>595</v>
      </c>
      <c r="Q67" s="146" t="s">
        <v>370</v>
      </c>
      <c r="R67" s="30" t="str">
        <f t="shared" si="2"/>
        <v>IL</v>
      </c>
      <c r="S67" s="30" t="str">
        <f t="shared" si="3"/>
        <v>IN</v>
      </c>
      <c r="T67" s="30" t="str">
        <f t="shared" si="4"/>
        <v>MI</v>
      </c>
      <c r="U67" s="30" t="str">
        <f t="shared" si="5"/>
        <v>MN</v>
      </c>
      <c r="V67" s="30" t="str">
        <f t="shared" si="6"/>
        <v>OH</v>
      </c>
      <c r="W67" s="30" t="str">
        <f t="shared" si="7"/>
        <v>WI</v>
      </c>
      <c r="X67" s="30" t="str">
        <f t="shared" ref="X67:X115" si="8">R67&amp;S67&amp;T67&amp;U67&amp;V67&amp;W67</f>
        <v>ILINMIMNOHWI</v>
      </c>
    </row>
    <row r="68" spans="1:24" s="18" customFormat="1" ht="120.4" x14ac:dyDescent="0.25">
      <c r="A68" s="51" t="str">
        <f>IF(ISNA(VLOOKUP(B68,Shortlist_xref!$A$5:$B$77,2,FALSE))=TRUE,"-",VLOOKUP(B68,Shortlist_xref!$A$5:$B$77,2,FALSE))</f>
        <v>-</v>
      </c>
      <c r="B68" s="3" t="s">
        <v>480</v>
      </c>
      <c r="C68" s="5" t="s">
        <v>481</v>
      </c>
      <c r="D68" s="5" t="s">
        <v>18</v>
      </c>
      <c r="E68" s="12" t="s">
        <v>12</v>
      </c>
      <c r="F68" s="17">
        <v>1.0468376444264851</v>
      </c>
      <c r="G68" s="17">
        <v>0</v>
      </c>
      <c r="H68" s="17">
        <v>0.23817150000000001</v>
      </c>
      <c r="I68" s="17">
        <v>0</v>
      </c>
      <c r="J68" s="17">
        <v>0</v>
      </c>
      <c r="K68" s="17">
        <v>5.0118086969411842E-2</v>
      </c>
      <c r="L68" s="146" t="s">
        <v>365</v>
      </c>
      <c r="M68" s="146" t="s">
        <v>593</v>
      </c>
      <c r="N68" s="146" t="s">
        <v>367</v>
      </c>
      <c r="O68" s="146" t="s">
        <v>594</v>
      </c>
      <c r="P68" s="146" t="s">
        <v>595</v>
      </c>
      <c r="Q68" s="146" t="s">
        <v>370</v>
      </c>
      <c r="R68" s="30" t="str">
        <f t="shared" ref="R68:R115" si="9">IF(L68="","",HLOOKUP(L$2,$R$1:$W$2,2,FALSE))</f>
        <v>IL</v>
      </c>
      <c r="S68" s="30" t="str">
        <f t="shared" ref="S68:S115" si="10">IF(M68="","",HLOOKUP(M$2,$R$1:$W$2,2,FALSE))</f>
        <v>IN</v>
      </c>
      <c r="T68" s="30" t="str">
        <f t="shared" ref="T68:T115" si="11">IF(N68="","",HLOOKUP(N$2,$R$1:$W$2,2,FALSE))</f>
        <v>MI</v>
      </c>
      <c r="U68" s="30" t="str">
        <f t="shared" ref="U68:U115" si="12">IF(O68="","",HLOOKUP(O$2,$R$1:$W$2,2,FALSE))</f>
        <v>MN</v>
      </c>
      <c r="V68" s="30" t="str">
        <f t="shared" ref="V68:V115" si="13">IF(P68="","",HLOOKUP(P$2,$R$1:$W$2,2,FALSE))</f>
        <v>OH</v>
      </c>
      <c r="W68" s="30" t="str">
        <f t="shared" ref="W68:W115" si="14">IF(Q68="","",HLOOKUP(Q$2,$R$1:$W$2,2,FALSE))</f>
        <v>WI</v>
      </c>
      <c r="X68" s="30" t="str">
        <f t="shared" si="8"/>
        <v>ILINMIMNOHWI</v>
      </c>
    </row>
    <row r="69" spans="1:24" s="18" customFormat="1" ht="120.4" x14ac:dyDescent="0.25">
      <c r="A69" s="51" t="str">
        <f>IF(ISNA(VLOOKUP(B69,Shortlist_xref!$A$5:$B$77,2,FALSE))=TRUE,"-",VLOOKUP(B69,Shortlist_xref!$A$5:$B$77,2,FALSE))</f>
        <v>-</v>
      </c>
      <c r="B69" s="3" t="s">
        <v>482</v>
      </c>
      <c r="C69" s="5" t="s">
        <v>481</v>
      </c>
      <c r="D69" s="5" t="s">
        <v>434</v>
      </c>
      <c r="E69" s="12" t="s">
        <v>12</v>
      </c>
      <c r="F69" s="17">
        <v>0.15311793599999998</v>
      </c>
      <c r="G69" s="17">
        <v>0</v>
      </c>
      <c r="H69" s="17">
        <v>0.25404959999999999</v>
      </c>
      <c r="I69" s="17">
        <v>0</v>
      </c>
      <c r="J69" s="17">
        <v>0</v>
      </c>
      <c r="K69" s="17">
        <v>0.26211409920000001</v>
      </c>
      <c r="L69" s="146" t="s">
        <v>365</v>
      </c>
      <c r="M69" s="146" t="s">
        <v>593</v>
      </c>
      <c r="N69" s="146" t="s">
        <v>367</v>
      </c>
      <c r="O69" s="146" t="s">
        <v>594</v>
      </c>
      <c r="P69" s="146" t="s">
        <v>595</v>
      </c>
      <c r="Q69" s="146" t="s">
        <v>370</v>
      </c>
      <c r="R69" s="30" t="str">
        <f t="shared" si="9"/>
        <v>IL</v>
      </c>
      <c r="S69" s="30" t="str">
        <f t="shared" si="10"/>
        <v>IN</v>
      </c>
      <c r="T69" s="30" t="str">
        <f t="shared" si="11"/>
        <v>MI</v>
      </c>
      <c r="U69" s="30" t="str">
        <f t="shared" si="12"/>
        <v>MN</v>
      </c>
      <c r="V69" s="30" t="str">
        <f t="shared" si="13"/>
        <v>OH</v>
      </c>
      <c r="W69" s="30" t="str">
        <f t="shared" si="14"/>
        <v>WI</v>
      </c>
      <c r="X69" s="30" t="str">
        <f t="shared" si="8"/>
        <v>ILINMIMNOHWI</v>
      </c>
    </row>
    <row r="70" spans="1:24" s="18" customFormat="1" ht="120.4" x14ac:dyDescent="0.25">
      <c r="A70" s="51" t="str">
        <f>IF(ISNA(VLOOKUP(B70,Shortlist_xref!$A$5:$B$77,2,FALSE))=TRUE,"-",VLOOKUP(B70,Shortlist_xref!$A$5:$B$77,2,FALSE))</f>
        <v>-</v>
      </c>
      <c r="B70" s="3" t="s">
        <v>483</v>
      </c>
      <c r="C70" s="5" t="s">
        <v>481</v>
      </c>
      <c r="D70" s="5" t="s">
        <v>474</v>
      </c>
      <c r="E70" s="12" t="s">
        <v>12</v>
      </c>
      <c r="F70" s="17">
        <v>1.8145185836725743</v>
      </c>
      <c r="G70" s="17">
        <v>0</v>
      </c>
      <c r="H70" s="17">
        <v>0.41283060000000005</v>
      </c>
      <c r="I70" s="17">
        <v>0</v>
      </c>
      <c r="J70" s="17">
        <v>0</v>
      </c>
      <c r="K70" s="17">
        <v>8.6871350746980533E-2</v>
      </c>
      <c r="L70" s="146" t="s">
        <v>365</v>
      </c>
      <c r="M70" s="146" t="s">
        <v>593</v>
      </c>
      <c r="N70" s="146" t="s">
        <v>367</v>
      </c>
      <c r="O70" s="146" t="s">
        <v>594</v>
      </c>
      <c r="P70" s="146" t="s">
        <v>595</v>
      </c>
      <c r="Q70" s="146" t="s">
        <v>370</v>
      </c>
      <c r="R70" s="30" t="str">
        <f t="shared" si="9"/>
        <v>IL</v>
      </c>
      <c r="S70" s="30" t="str">
        <f t="shared" si="10"/>
        <v>IN</v>
      </c>
      <c r="T70" s="30" t="str">
        <f t="shared" si="11"/>
        <v>MI</v>
      </c>
      <c r="U70" s="30" t="str">
        <f t="shared" si="12"/>
        <v>MN</v>
      </c>
      <c r="V70" s="30" t="str">
        <f t="shared" si="13"/>
        <v>OH</v>
      </c>
      <c r="W70" s="30" t="str">
        <f t="shared" si="14"/>
        <v>WI</v>
      </c>
      <c r="X70" s="30" t="str">
        <f t="shared" si="8"/>
        <v>ILINMIMNOHWI</v>
      </c>
    </row>
    <row r="71" spans="1:24" s="18" customFormat="1" ht="120.4" x14ac:dyDescent="0.25">
      <c r="A71" s="51" t="str">
        <f>IF(ISNA(VLOOKUP(B71,Shortlist_xref!$A$5:$B$77,2,FALSE))=TRUE,"-",VLOOKUP(B71,Shortlist_xref!$A$5:$B$77,2,FALSE))</f>
        <v>-</v>
      </c>
      <c r="B71" s="3" t="s">
        <v>484</v>
      </c>
      <c r="C71" s="5" t="s">
        <v>481</v>
      </c>
      <c r="D71" s="5" t="s">
        <v>11</v>
      </c>
      <c r="E71" s="12" t="s">
        <v>12</v>
      </c>
      <c r="F71" s="17">
        <v>1.3957835259019802</v>
      </c>
      <c r="G71" s="17">
        <v>0</v>
      </c>
      <c r="H71" s="17">
        <v>0.31756200000000001</v>
      </c>
      <c r="I71" s="17">
        <v>0</v>
      </c>
      <c r="J71" s="17">
        <v>0</v>
      </c>
      <c r="K71" s="17">
        <v>6.6824115959215794E-2</v>
      </c>
      <c r="L71" s="146" t="s">
        <v>365</v>
      </c>
      <c r="M71" s="146" t="s">
        <v>593</v>
      </c>
      <c r="N71" s="146" t="s">
        <v>367</v>
      </c>
      <c r="O71" s="146" t="s">
        <v>594</v>
      </c>
      <c r="P71" s="146" t="s">
        <v>595</v>
      </c>
      <c r="Q71" s="146" t="s">
        <v>370</v>
      </c>
      <c r="R71" s="30" t="str">
        <f t="shared" si="9"/>
        <v>IL</v>
      </c>
      <c r="S71" s="30" t="str">
        <f t="shared" si="10"/>
        <v>IN</v>
      </c>
      <c r="T71" s="30" t="str">
        <f t="shared" si="11"/>
        <v>MI</v>
      </c>
      <c r="U71" s="30" t="str">
        <f t="shared" si="12"/>
        <v>MN</v>
      </c>
      <c r="V71" s="30" t="str">
        <f t="shared" si="13"/>
        <v>OH</v>
      </c>
      <c r="W71" s="30" t="str">
        <f t="shared" si="14"/>
        <v>WI</v>
      </c>
      <c r="X71" s="30" t="str">
        <f t="shared" si="8"/>
        <v>ILINMIMNOHWI</v>
      </c>
    </row>
    <row r="72" spans="1:24" s="18" customFormat="1" ht="120.4" x14ac:dyDescent="0.25">
      <c r="A72" s="51" t="str">
        <f>IF(ISNA(VLOOKUP(B72,Shortlist_xref!$A$5:$B$77,2,FALSE))=TRUE,"-",VLOOKUP(B72,Shortlist_xref!$A$5:$B$77,2,FALSE))</f>
        <v>-</v>
      </c>
      <c r="B72" s="3" t="s">
        <v>485</v>
      </c>
      <c r="C72" s="5" t="s">
        <v>481</v>
      </c>
      <c r="D72" s="5" t="s">
        <v>486</v>
      </c>
      <c r="E72" s="12" t="s">
        <v>12</v>
      </c>
      <c r="F72" s="17">
        <v>1.3259943496068811</v>
      </c>
      <c r="G72" s="17">
        <v>0</v>
      </c>
      <c r="H72" s="17">
        <v>0.3016839</v>
      </c>
      <c r="I72" s="17">
        <v>0</v>
      </c>
      <c r="J72" s="17">
        <v>0</v>
      </c>
      <c r="K72" s="17">
        <v>6.3482910161254999E-2</v>
      </c>
      <c r="L72" s="146" t="s">
        <v>365</v>
      </c>
      <c r="M72" s="146" t="s">
        <v>593</v>
      </c>
      <c r="N72" s="146" t="s">
        <v>367</v>
      </c>
      <c r="O72" s="146" t="s">
        <v>594</v>
      </c>
      <c r="P72" s="146" t="s">
        <v>595</v>
      </c>
      <c r="Q72" s="146" t="s">
        <v>370</v>
      </c>
      <c r="R72" s="30" t="str">
        <f t="shared" si="9"/>
        <v>IL</v>
      </c>
      <c r="S72" s="30" t="str">
        <f t="shared" si="10"/>
        <v>IN</v>
      </c>
      <c r="T72" s="30" t="str">
        <f t="shared" si="11"/>
        <v>MI</v>
      </c>
      <c r="U72" s="30" t="str">
        <f t="shared" si="12"/>
        <v>MN</v>
      </c>
      <c r="V72" s="30" t="str">
        <f t="shared" si="13"/>
        <v>OH</v>
      </c>
      <c r="W72" s="30" t="str">
        <f t="shared" si="14"/>
        <v>WI</v>
      </c>
      <c r="X72" s="30" t="str">
        <f t="shared" si="8"/>
        <v>ILINMIMNOHWI</v>
      </c>
    </row>
    <row r="73" spans="1:24" s="18" customFormat="1" ht="120.4" x14ac:dyDescent="0.25">
      <c r="A73" s="51" t="str">
        <f>IF(ISNA(VLOOKUP(B73,Shortlist_xref!$A$5:$B$77,2,FALSE))=TRUE,"-",VLOOKUP(B73,Shortlist_xref!$A$5:$B$77,2,FALSE))</f>
        <v>-</v>
      </c>
      <c r="B73" s="3" t="s">
        <v>487</v>
      </c>
      <c r="C73" s="5" t="s">
        <v>488</v>
      </c>
      <c r="D73" s="5" t="s">
        <v>18</v>
      </c>
      <c r="E73" s="12" t="s">
        <v>12</v>
      </c>
      <c r="F73" s="17">
        <v>4.8177896380566807</v>
      </c>
      <c r="G73" s="17">
        <v>0.1548961033030295</v>
      </c>
      <c r="H73" s="17">
        <v>0.40973045277094955</v>
      </c>
      <c r="I73" s="17">
        <v>11.912718119320651</v>
      </c>
      <c r="J73" s="17">
        <v>1.2520700198223651</v>
      </c>
      <c r="K73" s="17">
        <v>0.58309637877075449</v>
      </c>
      <c r="L73" s="146" t="s">
        <v>365</v>
      </c>
      <c r="M73" s="146" t="s">
        <v>593</v>
      </c>
      <c r="N73" s="146" t="s">
        <v>367</v>
      </c>
      <c r="O73" s="146" t="s">
        <v>594</v>
      </c>
      <c r="P73" s="146" t="s">
        <v>595</v>
      </c>
      <c r="Q73" s="146" t="s">
        <v>370</v>
      </c>
      <c r="R73" s="30" t="str">
        <f t="shared" si="9"/>
        <v>IL</v>
      </c>
      <c r="S73" s="30" t="str">
        <f t="shared" si="10"/>
        <v>IN</v>
      </c>
      <c r="T73" s="30" t="str">
        <f t="shared" si="11"/>
        <v>MI</v>
      </c>
      <c r="U73" s="30" t="str">
        <f t="shared" si="12"/>
        <v>MN</v>
      </c>
      <c r="V73" s="30" t="str">
        <f t="shared" si="13"/>
        <v>OH</v>
      </c>
      <c r="W73" s="30" t="str">
        <f t="shared" si="14"/>
        <v>WI</v>
      </c>
      <c r="X73" s="30" t="str">
        <f t="shared" si="8"/>
        <v>ILINMIMNOHWI</v>
      </c>
    </row>
    <row r="74" spans="1:24" s="18" customFormat="1" ht="120.4" x14ac:dyDescent="0.25">
      <c r="A74" s="51" t="str">
        <f>IF(ISNA(VLOOKUP(B74,Shortlist_xref!$A$5:$B$77,2,FALSE))=TRUE,"-",VLOOKUP(B74,Shortlist_xref!$A$5:$B$77,2,FALSE))</f>
        <v>-</v>
      </c>
      <c r="B74" s="3" t="s">
        <v>489</v>
      </c>
      <c r="C74" s="5" t="s">
        <v>488</v>
      </c>
      <c r="D74" s="5" t="s">
        <v>434</v>
      </c>
      <c r="E74" s="12" t="s">
        <v>12</v>
      </c>
      <c r="F74" s="17">
        <v>0.89909579498300207</v>
      </c>
      <c r="G74" s="17">
        <v>0</v>
      </c>
      <c r="H74" s="17">
        <v>2.9255399999999998</v>
      </c>
      <c r="I74" s="17">
        <v>0.110736</v>
      </c>
      <c r="J74" s="17">
        <v>0.25123680000000004</v>
      </c>
      <c r="K74" s="17">
        <v>0</v>
      </c>
      <c r="L74" s="146" t="s">
        <v>365</v>
      </c>
      <c r="M74" s="146" t="s">
        <v>593</v>
      </c>
      <c r="N74" s="146" t="s">
        <v>367</v>
      </c>
      <c r="O74" s="146" t="s">
        <v>594</v>
      </c>
      <c r="P74" s="146" t="s">
        <v>595</v>
      </c>
      <c r="Q74" s="146" t="s">
        <v>370</v>
      </c>
      <c r="R74" s="30" t="str">
        <f t="shared" si="9"/>
        <v>IL</v>
      </c>
      <c r="S74" s="30" t="str">
        <f t="shared" si="10"/>
        <v>IN</v>
      </c>
      <c r="T74" s="30" t="str">
        <f t="shared" si="11"/>
        <v>MI</v>
      </c>
      <c r="U74" s="30" t="str">
        <f t="shared" si="12"/>
        <v>MN</v>
      </c>
      <c r="V74" s="30" t="str">
        <f t="shared" si="13"/>
        <v>OH</v>
      </c>
      <c r="W74" s="30" t="str">
        <f t="shared" si="14"/>
        <v>WI</v>
      </c>
      <c r="X74" s="30" t="str">
        <f t="shared" si="8"/>
        <v>ILINMIMNOHWI</v>
      </c>
    </row>
    <row r="75" spans="1:24" s="18" customFormat="1" ht="120.4" x14ac:dyDescent="0.25">
      <c r="A75" s="51" t="str">
        <f>IF(ISNA(VLOOKUP(B75,Shortlist_xref!$A$5:$B$77,2,FALSE))=TRUE,"-",VLOOKUP(B75,Shortlist_xref!$A$5:$B$77,2,FALSE))</f>
        <v>-</v>
      </c>
      <c r="B75" s="3" t="s">
        <v>490</v>
      </c>
      <c r="C75" s="5" t="s">
        <v>488</v>
      </c>
      <c r="D75" s="5" t="s">
        <v>441</v>
      </c>
      <c r="E75" s="12" t="s">
        <v>12</v>
      </c>
      <c r="F75" s="17">
        <v>0</v>
      </c>
      <c r="G75" s="17">
        <v>0</v>
      </c>
      <c r="H75" s="17">
        <v>0</v>
      </c>
      <c r="I75" s="17">
        <v>0</v>
      </c>
      <c r="J75" s="17">
        <v>0</v>
      </c>
      <c r="K75" s="17">
        <v>0</v>
      </c>
      <c r="L75" s="146" t="s">
        <v>365</v>
      </c>
      <c r="M75" s="146" t="s">
        <v>593</v>
      </c>
      <c r="N75" s="146" t="s">
        <v>367</v>
      </c>
      <c r="O75" s="146" t="s">
        <v>594</v>
      </c>
      <c r="P75" s="146" t="s">
        <v>595</v>
      </c>
      <c r="Q75" s="146" t="s">
        <v>370</v>
      </c>
      <c r="R75" s="30" t="str">
        <f t="shared" si="9"/>
        <v>IL</v>
      </c>
      <c r="S75" s="30" t="str">
        <f t="shared" si="10"/>
        <v>IN</v>
      </c>
      <c r="T75" s="30" t="str">
        <f t="shared" si="11"/>
        <v>MI</v>
      </c>
      <c r="U75" s="30" t="str">
        <f t="shared" si="12"/>
        <v>MN</v>
      </c>
      <c r="V75" s="30" t="str">
        <f t="shared" si="13"/>
        <v>OH</v>
      </c>
      <c r="W75" s="30" t="str">
        <f t="shared" si="14"/>
        <v>WI</v>
      </c>
      <c r="X75" s="30" t="str">
        <f t="shared" si="8"/>
        <v>ILINMIMNOHWI</v>
      </c>
    </row>
    <row r="76" spans="1:24" s="18" customFormat="1" ht="120.4" x14ac:dyDescent="0.25">
      <c r="A76" s="51" t="str">
        <f>IF(ISNA(VLOOKUP(B76,Shortlist_xref!$A$5:$B$77,2,FALSE))=TRUE,"-",VLOOKUP(B76,Shortlist_xref!$A$5:$B$77,2,FALSE))</f>
        <v>-</v>
      </c>
      <c r="B76" s="3" t="s">
        <v>491</v>
      </c>
      <c r="C76" s="5" t="s">
        <v>492</v>
      </c>
      <c r="D76" s="5" t="s">
        <v>441</v>
      </c>
      <c r="E76" s="12" t="s">
        <v>12</v>
      </c>
      <c r="F76" s="17">
        <v>25.060750890914367</v>
      </c>
      <c r="G76" s="17">
        <v>111.2013722249976</v>
      </c>
      <c r="H76" s="17">
        <v>100.87463885520064</v>
      </c>
      <c r="I76" s="17">
        <v>19.102394019046894</v>
      </c>
      <c r="J76" s="17">
        <v>11.278395719124667</v>
      </c>
      <c r="K76" s="17">
        <v>3.2285226060332075</v>
      </c>
      <c r="L76" s="146" t="s">
        <v>365</v>
      </c>
      <c r="M76" s="146" t="s">
        <v>366</v>
      </c>
      <c r="N76" s="146" t="s">
        <v>367</v>
      </c>
      <c r="O76" s="146" t="s">
        <v>368</v>
      </c>
      <c r="P76" s="146" t="s">
        <v>369</v>
      </c>
      <c r="Q76" s="146" t="s">
        <v>370</v>
      </c>
      <c r="R76" s="30" t="str">
        <f t="shared" si="9"/>
        <v>IL</v>
      </c>
      <c r="S76" s="30" t="str">
        <f t="shared" si="10"/>
        <v>IN</v>
      </c>
      <c r="T76" s="30" t="str">
        <f t="shared" si="11"/>
        <v>MI</v>
      </c>
      <c r="U76" s="30" t="str">
        <f t="shared" si="12"/>
        <v>MN</v>
      </c>
      <c r="V76" s="30" t="str">
        <f t="shared" si="13"/>
        <v>OH</v>
      </c>
      <c r="W76" s="30" t="str">
        <f t="shared" si="14"/>
        <v>WI</v>
      </c>
      <c r="X76" s="30" t="str">
        <f t="shared" si="8"/>
        <v>ILINMIMNOHWI</v>
      </c>
    </row>
    <row r="77" spans="1:24" s="18" customFormat="1" ht="120.4" x14ac:dyDescent="0.25">
      <c r="A77" s="51" t="str">
        <f>IF(ISNA(VLOOKUP(B77,Shortlist_xref!$A$5:$B$77,2,FALSE))=TRUE,"-",VLOOKUP(B77,Shortlist_xref!$A$5:$B$77,2,FALSE))</f>
        <v>-</v>
      </c>
      <c r="B77" s="3" t="s">
        <v>493</v>
      </c>
      <c r="C77" s="5" t="s">
        <v>494</v>
      </c>
      <c r="D77" s="5" t="s">
        <v>18</v>
      </c>
      <c r="E77" s="12" t="s">
        <v>12</v>
      </c>
      <c r="F77" s="17">
        <v>62.326477529792832</v>
      </c>
      <c r="G77" s="17">
        <v>72.853232207526204</v>
      </c>
      <c r="H77" s="17">
        <v>84.144810985678902</v>
      </c>
      <c r="I77" s="17">
        <v>12.900951261904309</v>
      </c>
      <c r="J77" s="17">
        <v>10.541729029918777</v>
      </c>
      <c r="K77" s="17">
        <v>4.5575110152867344</v>
      </c>
      <c r="L77" s="146" t="s">
        <v>365</v>
      </c>
      <c r="M77" s="146" t="s">
        <v>366</v>
      </c>
      <c r="N77" s="146" t="s">
        <v>367</v>
      </c>
      <c r="O77" s="146" t="s">
        <v>368</v>
      </c>
      <c r="P77" s="146" t="s">
        <v>369</v>
      </c>
      <c r="Q77" s="146" t="s">
        <v>370</v>
      </c>
      <c r="R77" s="30" t="str">
        <f t="shared" si="9"/>
        <v>IL</v>
      </c>
      <c r="S77" s="30" t="str">
        <f t="shared" si="10"/>
        <v>IN</v>
      </c>
      <c r="T77" s="30" t="str">
        <f t="shared" si="11"/>
        <v>MI</v>
      </c>
      <c r="U77" s="30" t="str">
        <f t="shared" si="12"/>
        <v>MN</v>
      </c>
      <c r="V77" s="30" t="str">
        <f t="shared" si="13"/>
        <v>OH</v>
      </c>
      <c r="W77" s="30" t="str">
        <f t="shared" si="14"/>
        <v>WI</v>
      </c>
      <c r="X77" s="30" t="str">
        <f t="shared" si="8"/>
        <v>ILINMIMNOHWI</v>
      </c>
    </row>
    <row r="78" spans="1:24" s="18" customFormat="1" ht="120.4" x14ac:dyDescent="0.25">
      <c r="A78" s="51" t="str">
        <f>IF(ISNA(VLOOKUP(B78,Shortlist_xref!$A$5:$B$77,2,FALSE))=TRUE,"-",VLOOKUP(B78,Shortlist_xref!$A$5:$B$77,2,FALSE))</f>
        <v>-</v>
      </c>
      <c r="B78" s="3" t="s">
        <v>495</v>
      </c>
      <c r="C78" s="5" t="s">
        <v>494</v>
      </c>
      <c r="D78" s="5" t="s">
        <v>441</v>
      </c>
      <c r="E78" s="12" t="s">
        <v>12</v>
      </c>
      <c r="F78" s="17">
        <v>112.1876595536271</v>
      </c>
      <c r="G78" s="17">
        <v>131.13581797354718</v>
      </c>
      <c r="H78" s="17">
        <v>151.46065977422202</v>
      </c>
      <c r="I78" s="17">
        <v>23.221712271427755</v>
      </c>
      <c r="J78" s="17">
        <v>18.975112253853798</v>
      </c>
      <c r="K78" s="17">
        <v>8.2035198275161214</v>
      </c>
      <c r="L78" s="146" t="s">
        <v>365</v>
      </c>
      <c r="M78" s="146" t="s">
        <v>366</v>
      </c>
      <c r="N78" s="146" t="s">
        <v>367</v>
      </c>
      <c r="O78" s="146" t="s">
        <v>368</v>
      </c>
      <c r="P78" s="146" t="s">
        <v>369</v>
      </c>
      <c r="Q78" s="146" t="s">
        <v>370</v>
      </c>
      <c r="R78" s="30" t="str">
        <f t="shared" si="9"/>
        <v>IL</v>
      </c>
      <c r="S78" s="30" t="str">
        <f t="shared" si="10"/>
        <v>IN</v>
      </c>
      <c r="T78" s="30" t="str">
        <f t="shared" si="11"/>
        <v>MI</v>
      </c>
      <c r="U78" s="30" t="str">
        <f t="shared" si="12"/>
        <v>MN</v>
      </c>
      <c r="V78" s="30" t="str">
        <f t="shared" si="13"/>
        <v>OH</v>
      </c>
      <c r="W78" s="30" t="str">
        <f t="shared" si="14"/>
        <v>WI</v>
      </c>
      <c r="X78" s="30" t="str">
        <f t="shared" si="8"/>
        <v>ILINMIMNOHWI</v>
      </c>
    </row>
    <row r="79" spans="1:24" s="18" customFormat="1" ht="120.4" x14ac:dyDescent="0.25">
      <c r="A79" s="51" t="str">
        <f>IF(ISNA(VLOOKUP(B79,Shortlist_xref!$A$5:$B$77,2,FALSE))=TRUE,"-",VLOOKUP(B79,Shortlist_xref!$A$5:$B$77,2,FALSE))</f>
        <v>-</v>
      </c>
      <c r="B79" s="3" t="s">
        <v>496</v>
      </c>
      <c r="C79" s="5" t="s">
        <v>494</v>
      </c>
      <c r="D79" s="5" t="s">
        <v>474</v>
      </c>
      <c r="E79" s="12" t="s">
        <v>12</v>
      </c>
      <c r="F79" s="17">
        <v>164.84452168232721</v>
      </c>
      <c r="G79" s="17">
        <v>96.69574506893089</v>
      </c>
      <c r="H79" s="17">
        <v>27.876646590392006</v>
      </c>
      <c r="I79" s="17">
        <v>87.917427739725611</v>
      </c>
      <c r="J79" s="17">
        <v>91.507609021227381</v>
      </c>
      <c r="K79" s="17">
        <v>33.677053664155039</v>
      </c>
      <c r="L79" s="146" t="s">
        <v>365</v>
      </c>
      <c r="M79" s="146" t="s">
        <v>366</v>
      </c>
      <c r="N79" s="146" t="s">
        <v>367</v>
      </c>
      <c r="O79" s="146" t="s">
        <v>368</v>
      </c>
      <c r="P79" s="146" t="s">
        <v>369</v>
      </c>
      <c r="Q79" s="146" t="s">
        <v>370</v>
      </c>
      <c r="R79" s="30" t="str">
        <f t="shared" si="9"/>
        <v>IL</v>
      </c>
      <c r="S79" s="30" t="str">
        <f t="shared" si="10"/>
        <v>IN</v>
      </c>
      <c r="T79" s="30" t="str">
        <f t="shared" si="11"/>
        <v>MI</v>
      </c>
      <c r="U79" s="30" t="str">
        <f t="shared" si="12"/>
        <v>MN</v>
      </c>
      <c r="V79" s="30" t="str">
        <f t="shared" si="13"/>
        <v>OH</v>
      </c>
      <c r="W79" s="30" t="str">
        <f t="shared" si="14"/>
        <v>WI</v>
      </c>
      <c r="X79" s="30" t="str">
        <f t="shared" si="8"/>
        <v>ILINMIMNOHWI</v>
      </c>
    </row>
    <row r="80" spans="1:24" s="18" customFormat="1" ht="120.4" x14ac:dyDescent="0.25">
      <c r="A80" s="51" t="str">
        <f>IF(ISNA(VLOOKUP(B80,Shortlist_xref!$A$5:$B$77,2,FALSE))=TRUE,"-",VLOOKUP(B80,Shortlist_xref!$A$5:$B$77,2,FALSE))</f>
        <v>-</v>
      </c>
      <c r="B80" s="3" t="s">
        <v>497</v>
      </c>
      <c r="C80" s="5" t="s">
        <v>494</v>
      </c>
      <c r="D80" s="5" t="s">
        <v>11</v>
      </c>
      <c r="E80" s="12" t="s">
        <v>12</v>
      </c>
      <c r="F80" s="17">
        <v>129.06085785560697</v>
      </c>
      <c r="G80" s="17">
        <v>33.086722134669955</v>
      </c>
      <c r="H80" s="17">
        <v>47.309407399729729</v>
      </c>
      <c r="I80" s="17">
        <v>55.644163446018005</v>
      </c>
      <c r="J80" s="17">
        <v>65.710316394094562</v>
      </c>
      <c r="K80" s="17">
        <v>4.0326246048153269</v>
      </c>
      <c r="L80" s="146" t="s">
        <v>365</v>
      </c>
      <c r="M80" s="146" t="s">
        <v>366</v>
      </c>
      <c r="N80" s="146" t="s">
        <v>367</v>
      </c>
      <c r="O80" s="146" t="s">
        <v>368</v>
      </c>
      <c r="P80" s="146" t="s">
        <v>369</v>
      </c>
      <c r="Q80" s="146" t="s">
        <v>370</v>
      </c>
      <c r="R80" s="30" t="str">
        <f t="shared" si="9"/>
        <v>IL</v>
      </c>
      <c r="S80" s="30" t="str">
        <f t="shared" si="10"/>
        <v>IN</v>
      </c>
      <c r="T80" s="30" t="str">
        <f t="shared" si="11"/>
        <v>MI</v>
      </c>
      <c r="U80" s="30" t="str">
        <f t="shared" si="12"/>
        <v>MN</v>
      </c>
      <c r="V80" s="30" t="str">
        <f t="shared" si="13"/>
        <v>OH</v>
      </c>
      <c r="W80" s="30" t="str">
        <f t="shared" si="14"/>
        <v>WI</v>
      </c>
      <c r="X80" s="30" t="str">
        <f t="shared" si="8"/>
        <v>ILINMIMNOHWI</v>
      </c>
    </row>
    <row r="81" spans="1:24" s="18" customFormat="1" ht="120.4" x14ac:dyDescent="0.25">
      <c r="A81" s="51" t="str">
        <f>IF(ISNA(VLOOKUP(B81,Shortlist_xref!$A$5:$B$77,2,FALSE))=TRUE,"-",VLOOKUP(B81,Shortlist_xref!$A$5:$B$77,2,FALSE))</f>
        <v>-</v>
      </c>
      <c r="B81" s="3" t="s">
        <v>498</v>
      </c>
      <c r="C81" s="5" t="s">
        <v>494</v>
      </c>
      <c r="D81" s="5" t="s">
        <v>486</v>
      </c>
      <c r="E81" s="12" t="s">
        <v>12</v>
      </c>
      <c r="F81" s="17">
        <v>193.59128678341045</v>
      </c>
      <c r="G81" s="17">
        <v>49.630083202004933</v>
      </c>
      <c r="H81" s="17">
        <v>70.964111099594589</v>
      </c>
      <c r="I81" s="17">
        <v>83.466245169027005</v>
      </c>
      <c r="J81" s="17">
        <v>98.56547459114185</v>
      </c>
      <c r="K81" s="17">
        <v>6.0502016809729895</v>
      </c>
      <c r="L81" s="146" t="s">
        <v>365</v>
      </c>
      <c r="M81" s="146" t="s">
        <v>366</v>
      </c>
      <c r="N81" s="146" t="s">
        <v>367</v>
      </c>
      <c r="O81" s="146" t="s">
        <v>368</v>
      </c>
      <c r="P81" s="146" t="s">
        <v>369</v>
      </c>
      <c r="Q81" s="146" t="s">
        <v>370</v>
      </c>
      <c r="R81" s="30" t="str">
        <f t="shared" si="9"/>
        <v>IL</v>
      </c>
      <c r="S81" s="30" t="str">
        <f t="shared" si="10"/>
        <v>IN</v>
      </c>
      <c r="T81" s="30" t="str">
        <f t="shared" si="11"/>
        <v>MI</v>
      </c>
      <c r="U81" s="30" t="str">
        <f t="shared" si="12"/>
        <v>MN</v>
      </c>
      <c r="V81" s="30" t="str">
        <f t="shared" si="13"/>
        <v>OH</v>
      </c>
      <c r="W81" s="30" t="str">
        <f t="shared" si="14"/>
        <v>WI</v>
      </c>
      <c r="X81" s="30" t="str">
        <f t="shared" si="8"/>
        <v>ILINMIMNOHWI</v>
      </c>
    </row>
    <row r="82" spans="1:24" s="18" customFormat="1" ht="120.4" x14ac:dyDescent="0.25">
      <c r="A82" s="51" t="str">
        <f>IF(ISNA(VLOOKUP(B82,Shortlist_xref!$A$5:$B$77,2,FALSE))=TRUE,"-",VLOOKUP(B82,Shortlist_xref!$A$5:$B$77,2,FALSE))</f>
        <v>-</v>
      </c>
      <c r="B82" s="3" t="s">
        <v>499</v>
      </c>
      <c r="C82" s="5" t="s">
        <v>500</v>
      </c>
      <c r="D82" s="5" t="s">
        <v>434</v>
      </c>
      <c r="E82" s="12" t="s">
        <v>12</v>
      </c>
      <c r="F82" s="17">
        <v>172.3790568888775</v>
      </c>
      <c r="G82" s="17">
        <v>92.505418784106666</v>
      </c>
      <c r="H82" s="17">
        <v>129.07602101343679</v>
      </c>
      <c r="I82" s="17">
        <v>14.746161671403598</v>
      </c>
      <c r="J82" s="17">
        <v>66.929965357954671</v>
      </c>
      <c r="K82" s="17">
        <v>28.008930477843588</v>
      </c>
      <c r="L82" s="146" t="s">
        <v>365</v>
      </c>
      <c r="M82" s="146" t="s">
        <v>366</v>
      </c>
      <c r="N82" s="146" t="s">
        <v>367</v>
      </c>
      <c r="O82" s="146" t="s">
        <v>368</v>
      </c>
      <c r="P82" s="146" t="s">
        <v>369</v>
      </c>
      <c r="Q82" s="146" t="s">
        <v>370</v>
      </c>
      <c r="R82" s="30" t="str">
        <f t="shared" si="9"/>
        <v>IL</v>
      </c>
      <c r="S82" s="30" t="str">
        <f t="shared" si="10"/>
        <v>IN</v>
      </c>
      <c r="T82" s="30" t="str">
        <f t="shared" si="11"/>
        <v>MI</v>
      </c>
      <c r="U82" s="30" t="str">
        <f t="shared" si="12"/>
        <v>MN</v>
      </c>
      <c r="V82" s="30" t="str">
        <f t="shared" si="13"/>
        <v>OH</v>
      </c>
      <c r="W82" s="30" t="str">
        <f t="shared" si="14"/>
        <v>WI</v>
      </c>
      <c r="X82" s="30" t="str">
        <f t="shared" si="8"/>
        <v>ILINMIMNOHWI</v>
      </c>
    </row>
    <row r="83" spans="1:24" s="18" customFormat="1" ht="120.4" x14ac:dyDescent="0.25">
      <c r="A83" s="51" t="str">
        <f>IF(ISNA(VLOOKUP(B83,Shortlist_xref!$A$5:$B$77,2,FALSE))=TRUE,"-",VLOOKUP(B83,Shortlist_xref!$A$5:$B$77,2,FALSE))</f>
        <v>-</v>
      </c>
      <c r="B83" s="3" t="s">
        <v>501</v>
      </c>
      <c r="C83" s="5" t="s">
        <v>502</v>
      </c>
      <c r="D83" s="5" t="s">
        <v>441</v>
      </c>
      <c r="E83" s="12" t="s">
        <v>12</v>
      </c>
      <c r="F83" s="17">
        <v>0</v>
      </c>
      <c r="G83" s="17">
        <v>0</v>
      </c>
      <c r="H83" s="17">
        <v>0</v>
      </c>
      <c r="I83" s="17">
        <v>0</v>
      </c>
      <c r="J83" s="17">
        <v>0</v>
      </c>
      <c r="K83" s="17">
        <v>0.39954915000000008</v>
      </c>
      <c r="L83" s="146" t="s">
        <v>365</v>
      </c>
      <c r="M83" s="146" t="s">
        <v>593</v>
      </c>
      <c r="N83" s="146" t="s">
        <v>367</v>
      </c>
      <c r="O83" s="146" t="s">
        <v>594</v>
      </c>
      <c r="P83" s="146" t="s">
        <v>595</v>
      </c>
      <c r="Q83" s="146" t="s">
        <v>370</v>
      </c>
      <c r="R83" s="30" t="str">
        <f t="shared" si="9"/>
        <v>IL</v>
      </c>
      <c r="S83" s="30" t="str">
        <f t="shared" si="10"/>
        <v>IN</v>
      </c>
      <c r="T83" s="30" t="str">
        <f t="shared" si="11"/>
        <v>MI</v>
      </c>
      <c r="U83" s="30" t="str">
        <f t="shared" si="12"/>
        <v>MN</v>
      </c>
      <c r="V83" s="30" t="str">
        <f t="shared" si="13"/>
        <v>OH</v>
      </c>
      <c r="W83" s="30" t="str">
        <f t="shared" si="14"/>
        <v>WI</v>
      </c>
      <c r="X83" s="30" t="str">
        <f t="shared" si="8"/>
        <v>ILINMIMNOHWI</v>
      </c>
    </row>
    <row r="84" spans="1:24" s="18" customFormat="1" ht="120.4" x14ac:dyDescent="0.25">
      <c r="A84" s="51" t="str">
        <f>IF(ISNA(VLOOKUP(B84,Shortlist_xref!$A$5:$B$77,2,FALSE))=TRUE,"-",VLOOKUP(B84,Shortlist_xref!$A$5:$B$77,2,FALSE))</f>
        <v>-</v>
      </c>
      <c r="B84" s="3" t="s">
        <v>503</v>
      </c>
      <c r="C84" s="5" t="s">
        <v>504</v>
      </c>
      <c r="D84" s="5" t="s">
        <v>434</v>
      </c>
      <c r="E84" s="12" t="s">
        <v>12</v>
      </c>
      <c r="F84" s="17">
        <v>0</v>
      </c>
      <c r="G84" s="17">
        <v>23.378644300000005</v>
      </c>
      <c r="H84" s="17">
        <v>1.2234750000000003</v>
      </c>
      <c r="I84" s="17">
        <v>0</v>
      </c>
      <c r="J84" s="17">
        <v>0</v>
      </c>
      <c r="K84" s="17">
        <v>0</v>
      </c>
      <c r="L84" s="146" t="s">
        <v>365</v>
      </c>
      <c r="M84" s="146" t="s">
        <v>366</v>
      </c>
      <c r="N84" s="146" t="s">
        <v>367</v>
      </c>
      <c r="O84" s="146" t="s">
        <v>368</v>
      </c>
      <c r="P84" s="146" t="s">
        <v>369</v>
      </c>
      <c r="Q84" s="146" t="s">
        <v>370</v>
      </c>
      <c r="R84" s="30" t="str">
        <f t="shared" si="9"/>
        <v>IL</v>
      </c>
      <c r="S84" s="30" t="str">
        <f t="shared" si="10"/>
        <v>IN</v>
      </c>
      <c r="T84" s="30" t="str">
        <f t="shared" si="11"/>
        <v>MI</v>
      </c>
      <c r="U84" s="30" t="str">
        <f t="shared" si="12"/>
        <v>MN</v>
      </c>
      <c r="V84" s="30" t="str">
        <f t="shared" si="13"/>
        <v>OH</v>
      </c>
      <c r="W84" s="30" t="str">
        <f t="shared" si="14"/>
        <v>WI</v>
      </c>
      <c r="X84" s="30" t="str">
        <f t="shared" si="8"/>
        <v>ILINMIMNOHWI</v>
      </c>
    </row>
    <row r="85" spans="1:24" s="18" customFormat="1" ht="120.4" x14ac:dyDescent="0.25">
      <c r="A85" s="51" t="str">
        <f>IF(ISNA(VLOOKUP(B85,Shortlist_xref!$A$5:$B$77,2,FALSE))=TRUE,"-",VLOOKUP(B85,Shortlist_xref!$A$5:$B$77,2,FALSE))</f>
        <v>-</v>
      </c>
      <c r="B85" s="3" t="s">
        <v>505</v>
      </c>
      <c r="C85" s="5" t="s">
        <v>506</v>
      </c>
      <c r="D85" s="5" t="s">
        <v>21</v>
      </c>
      <c r="E85" s="12" t="s">
        <v>12</v>
      </c>
      <c r="F85" s="17">
        <v>136.3938018488372</v>
      </c>
      <c r="G85" s="17">
        <v>112.12278634450188</v>
      </c>
      <c r="H85" s="17">
        <v>116.34285815280228</v>
      </c>
      <c r="I85" s="17">
        <v>18.505444205951676</v>
      </c>
      <c r="J85" s="17">
        <v>72.951477474532368</v>
      </c>
      <c r="K85" s="17">
        <v>4.8515719777546131</v>
      </c>
      <c r="L85" s="146" t="s">
        <v>365</v>
      </c>
      <c r="M85" s="146" t="s">
        <v>366</v>
      </c>
      <c r="N85" s="146" t="s">
        <v>367</v>
      </c>
      <c r="O85" s="146" t="s">
        <v>368</v>
      </c>
      <c r="P85" s="146" t="s">
        <v>369</v>
      </c>
      <c r="Q85" s="146" t="s">
        <v>370</v>
      </c>
      <c r="R85" s="30" t="str">
        <f t="shared" si="9"/>
        <v>IL</v>
      </c>
      <c r="S85" s="30" t="str">
        <f t="shared" si="10"/>
        <v>IN</v>
      </c>
      <c r="T85" s="30" t="str">
        <f t="shared" si="11"/>
        <v>MI</v>
      </c>
      <c r="U85" s="30" t="str">
        <f t="shared" si="12"/>
        <v>MN</v>
      </c>
      <c r="V85" s="30" t="str">
        <f t="shared" si="13"/>
        <v>OH</v>
      </c>
      <c r="W85" s="30" t="str">
        <f t="shared" si="14"/>
        <v>WI</v>
      </c>
      <c r="X85" s="30" t="str">
        <f t="shared" si="8"/>
        <v>ILINMIMNOHWI</v>
      </c>
    </row>
    <row r="86" spans="1:24" s="18" customFormat="1" ht="120.4" x14ac:dyDescent="0.25">
      <c r="A86" s="51" t="str">
        <f>IF(ISNA(VLOOKUP(B86,Shortlist_xref!$A$5:$B$77,2,FALSE))=TRUE,"-",VLOOKUP(B86,Shortlist_xref!$A$5:$B$77,2,FALSE))</f>
        <v>-</v>
      </c>
      <c r="B86" s="3" t="s">
        <v>508</v>
      </c>
      <c r="C86" s="5" t="s">
        <v>509</v>
      </c>
      <c r="D86" s="5" t="s">
        <v>441</v>
      </c>
      <c r="E86" s="12" t="s">
        <v>12</v>
      </c>
      <c r="F86" s="17">
        <v>113.33497388226181</v>
      </c>
      <c r="G86" s="17">
        <v>50.783575621981051</v>
      </c>
      <c r="H86" s="17">
        <v>13.965103602227609</v>
      </c>
      <c r="I86" s="17">
        <v>98.215368202832408</v>
      </c>
      <c r="J86" s="17">
        <v>91.48129363487341</v>
      </c>
      <c r="K86" s="17">
        <v>0</v>
      </c>
      <c r="L86" s="146" t="s">
        <v>365</v>
      </c>
      <c r="M86" s="146" t="s">
        <v>593</v>
      </c>
      <c r="N86" s="146" t="s">
        <v>367</v>
      </c>
      <c r="O86" s="146" t="s">
        <v>594</v>
      </c>
      <c r="P86" s="146" t="s">
        <v>595</v>
      </c>
      <c r="Q86" s="146" t="s">
        <v>370</v>
      </c>
      <c r="R86" s="30" t="str">
        <f t="shared" si="9"/>
        <v>IL</v>
      </c>
      <c r="S86" s="30" t="str">
        <f t="shared" si="10"/>
        <v>IN</v>
      </c>
      <c r="T86" s="30" t="str">
        <f t="shared" si="11"/>
        <v>MI</v>
      </c>
      <c r="U86" s="30" t="str">
        <f t="shared" si="12"/>
        <v>MN</v>
      </c>
      <c r="V86" s="30" t="str">
        <f t="shared" si="13"/>
        <v>OH</v>
      </c>
      <c r="W86" s="30" t="str">
        <f t="shared" si="14"/>
        <v>WI</v>
      </c>
      <c r="X86" s="30" t="str">
        <f t="shared" si="8"/>
        <v>ILINMIMNOHWI</v>
      </c>
    </row>
    <row r="87" spans="1:24" s="18" customFormat="1" ht="120.4" x14ac:dyDescent="0.25">
      <c r="A87" s="51" t="str">
        <f>IF(ISNA(VLOOKUP(B87,Shortlist_xref!$A$5:$B$77,2,FALSE))=TRUE,"-",VLOOKUP(B87,Shortlist_xref!$A$5:$B$77,2,FALSE))</f>
        <v>-</v>
      </c>
      <c r="B87" s="3" t="s">
        <v>510</v>
      </c>
      <c r="C87" s="5" t="s">
        <v>511</v>
      </c>
      <c r="D87" s="5" t="s">
        <v>18</v>
      </c>
      <c r="E87" s="12" t="s">
        <v>12</v>
      </c>
      <c r="F87" s="17">
        <v>3.2908847986327312</v>
      </c>
      <c r="G87" s="17">
        <v>49.264738491900005</v>
      </c>
      <c r="H87" s="17">
        <v>45.111081909999996</v>
      </c>
      <c r="I87" s="17">
        <v>1.2953700000000002E-2</v>
      </c>
      <c r="J87" s="17">
        <v>1.0696552000000001</v>
      </c>
      <c r="K87" s="17">
        <v>1.061700385</v>
      </c>
      <c r="L87" s="146" t="s">
        <v>365</v>
      </c>
      <c r="M87" s="146" t="s">
        <v>593</v>
      </c>
      <c r="N87" s="146" t="s">
        <v>367</v>
      </c>
      <c r="O87" s="146" t="s">
        <v>594</v>
      </c>
      <c r="P87" s="146" t="s">
        <v>595</v>
      </c>
      <c r="Q87" s="146" t="s">
        <v>370</v>
      </c>
      <c r="R87" s="30" t="str">
        <f t="shared" si="9"/>
        <v>IL</v>
      </c>
      <c r="S87" s="30" t="str">
        <f t="shared" si="10"/>
        <v>IN</v>
      </c>
      <c r="T87" s="30" t="str">
        <f t="shared" si="11"/>
        <v>MI</v>
      </c>
      <c r="U87" s="30" t="str">
        <f t="shared" si="12"/>
        <v>MN</v>
      </c>
      <c r="V87" s="30" t="str">
        <f t="shared" si="13"/>
        <v>OH</v>
      </c>
      <c r="W87" s="30" t="str">
        <f t="shared" si="14"/>
        <v>WI</v>
      </c>
      <c r="X87" s="30" t="str">
        <f t="shared" si="8"/>
        <v>ILINMIMNOHWI</v>
      </c>
    </row>
    <row r="88" spans="1:24" s="18" customFormat="1" ht="120.4" x14ac:dyDescent="0.25">
      <c r="A88" s="51" t="str">
        <f>IF(ISNA(VLOOKUP(B88,Shortlist_xref!$A$5:$B$77,2,FALSE))=TRUE,"-",VLOOKUP(B88,Shortlist_xref!$A$5:$B$77,2,FALSE))</f>
        <v>-</v>
      </c>
      <c r="B88" s="3" t="s">
        <v>512</v>
      </c>
      <c r="C88" s="5" t="s">
        <v>511</v>
      </c>
      <c r="D88" s="5" t="s">
        <v>434</v>
      </c>
      <c r="E88" s="12" t="s">
        <v>12</v>
      </c>
      <c r="F88" s="17">
        <v>2.9239703520000004</v>
      </c>
      <c r="G88" s="17">
        <v>45.270300235800008</v>
      </c>
      <c r="H88" s="17">
        <v>41.090894820000003</v>
      </c>
      <c r="I88" s="17">
        <v>1.1903400000000003E-2</v>
      </c>
      <c r="J88" s="17">
        <v>0.98292640000000009</v>
      </c>
      <c r="K88" s="17">
        <v>1.1248986700000001</v>
      </c>
      <c r="L88" s="146" t="s">
        <v>365</v>
      </c>
      <c r="M88" s="146" t="s">
        <v>593</v>
      </c>
      <c r="N88" s="146" t="s">
        <v>367</v>
      </c>
      <c r="O88" s="146" t="s">
        <v>594</v>
      </c>
      <c r="P88" s="146" t="s">
        <v>595</v>
      </c>
      <c r="Q88" s="146" t="s">
        <v>370</v>
      </c>
      <c r="R88" s="30" t="str">
        <f t="shared" si="9"/>
        <v>IL</v>
      </c>
      <c r="S88" s="30" t="str">
        <f t="shared" si="10"/>
        <v>IN</v>
      </c>
      <c r="T88" s="30" t="str">
        <f t="shared" si="11"/>
        <v>MI</v>
      </c>
      <c r="U88" s="30" t="str">
        <f t="shared" si="12"/>
        <v>MN</v>
      </c>
      <c r="V88" s="30" t="str">
        <f t="shared" si="13"/>
        <v>OH</v>
      </c>
      <c r="W88" s="30" t="str">
        <f t="shared" si="14"/>
        <v>WI</v>
      </c>
      <c r="X88" s="30" t="str">
        <f t="shared" si="8"/>
        <v>ILINMIMNOHWI</v>
      </c>
    </row>
    <row r="89" spans="1:24" s="18" customFormat="1" ht="120.4" x14ac:dyDescent="0.25">
      <c r="A89" s="51" t="str">
        <f>IF(ISNA(VLOOKUP(B89,Shortlist_xref!$A$5:$B$77,2,FALSE))=TRUE,"-",VLOOKUP(B89,Shortlist_xref!$A$5:$B$77,2,FALSE))</f>
        <v>-</v>
      </c>
      <c r="B89" s="3" t="s">
        <v>513</v>
      </c>
      <c r="C89" s="5" t="s">
        <v>511</v>
      </c>
      <c r="D89" s="5" t="s">
        <v>21</v>
      </c>
      <c r="E89" s="12" t="s">
        <v>12</v>
      </c>
      <c r="F89" s="17">
        <v>6.8930695106496387</v>
      </c>
      <c r="G89" s="17">
        <v>103.18965494925001</v>
      </c>
      <c r="H89" s="17">
        <v>94.48942832500002</v>
      </c>
      <c r="I89" s="17">
        <v>2.7132750000000004E-2</v>
      </c>
      <c r="J89" s="17">
        <v>2.2404940000000004</v>
      </c>
      <c r="K89" s="17">
        <v>2.2238318875000003</v>
      </c>
      <c r="L89" s="146" t="s">
        <v>365</v>
      </c>
      <c r="M89" s="146" t="s">
        <v>593</v>
      </c>
      <c r="N89" s="146" t="s">
        <v>367</v>
      </c>
      <c r="O89" s="146" t="s">
        <v>594</v>
      </c>
      <c r="P89" s="146" t="s">
        <v>595</v>
      </c>
      <c r="Q89" s="146" t="s">
        <v>370</v>
      </c>
      <c r="R89" s="30" t="str">
        <f t="shared" si="9"/>
        <v>IL</v>
      </c>
      <c r="S89" s="30" t="str">
        <f t="shared" si="10"/>
        <v>IN</v>
      </c>
      <c r="T89" s="30" t="str">
        <f t="shared" si="11"/>
        <v>MI</v>
      </c>
      <c r="U89" s="30" t="str">
        <f t="shared" si="12"/>
        <v>MN</v>
      </c>
      <c r="V89" s="30" t="str">
        <f t="shared" si="13"/>
        <v>OH</v>
      </c>
      <c r="W89" s="30" t="str">
        <f t="shared" si="14"/>
        <v>WI</v>
      </c>
      <c r="X89" s="30" t="str">
        <f t="shared" si="8"/>
        <v>ILINMIMNOHWI</v>
      </c>
    </row>
    <row r="90" spans="1:24" s="18" customFormat="1" ht="120.4" x14ac:dyDescent="0.25">
      <c r="A90" s="51" t="str">
        <f>IF(ISNA(VLOOKUP(B90,Shortlist_xref!$A$5:$B$77,2,FALSE))=TRUE,"-",VLOOKUP(B90,Shortlist_xref!$A$5:$B$77,2,FALSE))</f>
        <v>-</v>
      </c>
      <c r="B90" s="3" t="s">
        <v>514</v>
      </c>
      <c r="C90" s="5" t="s">
        <v>511</v>
      </c>
      <c r="D90" s="5" t="s">
        <v>11</v>
      </c>
      <c r="E90" s="12" t="s">
        <v>12</v>
      </c>
      <c r="F90" s="17">
        <v>4.964974857830641</v>
      </c>
      <c r="G90" s="17">
        <v>0.1548961033030295</v>
      </c>
      <c r="H90" s="17">
        <v>0.94286545277094957</v>
      </c>
      <c r="I90" s="17">
        <v>11.912718119320651</v>
      </c>
      <c r="J90" s="17">
        <v>1.2520700198223651</v>
      </c>
      <c r="K90" s="17">
        <v>0.58309637877075449</v>
      </c>
      <c r="L90" s="146" t="s">
        <v>365</v>
      </c>
      <c r="M90" s="146" t="s">
        <v>593</v>
      </c>
      <c r="N90" s="146" t="s">
        <v>367</v>
      </c>
      <c r="O90" s="146" t="s">
        <v>594</v>
      </c>
      <c r="P90" s="146" t="s">
        <v>595</v>
      </c>
      <c r="Q90" s="146" t="s">
        <v>370</v>
      </c>
      <c r="R90" s="30" t="str">
        <f t="shared" si="9"/>
        <v>IL</v>
      </c>
      <c r="S90" s="30" t="str">
        <f t="shared" si="10"/>
        <v>IN</v>
      </c>
      <c r="T90" s="30" t="str">
        <f t="shared" si="11"/>
        <v>MI</v>
      </c>
      <c r="U90" s="30" t="str">
        <f t="shared" si="12"/>
        <v>MN</v>
      </c>
      <c r="V90" s="30" t="str">
        <f t="shared" si="13"/>
        <v>OH</v>
      </c>
      <c r="W90" s="30" t="str">
        <f t="shared" si="14"/>
        <v>WI</v>
      </c>
      <c r="X90" s="30" t="str">
        <f t="shared" si="8"/>
        <v>ILINMIMNOHWI</v>
      </c>
    </row>
    <row r="91" spans="1:24" s="18" customFormat="1" ht="120.4" x14ac:dyDescent="0.25">
      <c r="A91" s="51" t="str">
        <f>IF(ISNA(VLOOKUP(B91,Shortlist_xref!$A$5:$B$77,2,FALSE))=TRUE,"-",VLOOKUP(B91,Shortlist_xref!$A$5:$B$77,2,FALSE))</f>
        <v>-</v>
      </c>
      <c r="B91" s="3" t="s">
        <v>515</v>
      </c>
      <c r="C91" s="5" t="s">
        <v>511</v>
      </c>
      <c r="D91" s="5" t="s">
        <v>486</v>
      </c>
      <c r="E91" s="12" t="s">
        <v>12</v>
      </c>
      <c r="F91" s="17">
        <v>91.908407993390128</v>
      </c>
      <c r="G91" s="17">
        <v>41.191122448940185</v>
      </c>
      <c r="H91" s="17">
        <v>11.327250699584615</v>
      </c>
      <c r="I91" s="17">
        <v>79.663576431186286</v>
      </c>
      <c r="J91" s="17">
        <v>74.201493726063987</v>
      </c>
      <c r="K91" s="17">
        <v>0.32051745000000004</v>
      </c>
      <c r="L91" s="146" t="s">
        <v>365</v>
      </c>
      <c r="M91" s="146" t="s">
        <v>593</v>
      </c>
      <c r="N91" s="146" t="s">
        <v>367</v>
      </c>
      <c r="O91" s="146" t="s">
        <v>594</v>
      </c>
      <c r="P91" s="146" t="s">
        <v>595</v>
      </c>
      <c r="Q91" s="146" t="s">
        <v>370</v>
      </c>
      <c r="R91" s="30" t="str">
        <f t="shared" si="9"/>
        <v>IL</v>
      </c>
      <c r="S91" s="30" t="str">
        <f t="shared" si="10"/>
        <v>IN</v>
      </c>
      <c r="T91" s="30" t="str">
        <f t="shared" si="11"/>
        <v>MI</v>
      </c>
      <c r="U91" s="30" t="str">
        <f t="shared" si="12"/>
        <v>MN</v>
      </c>
      <c r="V91" s="30" t="str">
        <f t="shared" si="13"/>
        <v>OH</v>
      </c>
      <c r="W91" s="30" t="str">
        <f t="shared" si="14"/>
        <v>WI</v>
      </c>
      <c r="X91" s="30" t="str">
        <f t="shared" si="8"/>
        <v>ILINMIMNOHWI</v>
      </c>
    </row>
    <row r="92" spans="1:24" s="18" customFormat="1" ht="109.45" x14ac:dyDescent="0.25">
      <c r="A92" s="51" t="str">
        <f>IF(ISNA(VLOOKUP(B92,Shortlist_xref!$A$5:$B$77,2,FALSE))=TRUE,"-",VLOOKUP(B92,Shortlist_xref!$A$5:$B$77,2,FALSE))</f>
        <v>-</v>
      </c>
      <c r="B92" s="3" t="s">
        <v>516</v>
      </c>
      <c r="C92" s="5" t="s">
        <v>517</v>
      </c>
      <c r="D92" s="5" t="s">
        <v>26</v>
      </c>
      <c r="E92" s="12" t="s">
        <v>12</v>
      </c>
      <c r="F92" s="17">
        <v>0</v>
      </c>
      <c r="G92" s="17">
        <v>0</v>
      </c>
      <c r="H92" s="17">
        <v>0</v>
      </c>
      <c r="I92" s="17">
        <v>0</v>
      </c>
      <c r="J92" s="17">
        <v>0</v>
      </c>
      <c r="K92" s="17">
        <v>0</v>
      </c>
      <c r="L92" s="146" t="s">
        <v>596</v>
      </c>
      <c r="M92" s="146" t="s">
        <v>597</v>
      </c>
      <c r="N92" s="146" t="s">
        <v>598</v>
      </c>
      <c r="O92" s="146" t="s">
        <v>599</v>
      </c>
      <c r="P92" s="146" t="s">
        <v>600</v>
      </c>
      <c r="Q92" s="146" t="s">
        <v>601</v>
      </c>
      <c r="R92" s="30" t="str">
        <f t="shared" si="9"/>
        <v>IL</v>
      </c>
      <c r="S92" s="30" t="str">
        <f t="shared" si="10"/>
        <v>IN</v>
      </c>
      <c r="T92" s="30" t="str">
        <f t="shared" si="11"/>
        <v>MI</v>
      </c>
      <c r="U92" s="30" t="str">
        <f t="shared" si="12"/>
        <v>MN</v>
      </c>
      <c r="V92" s="30" t="str">
        <f t="shared" si="13"/>
        <v>OH</v>
      </c>
      <c r="W92" s="30" t="str">
        <f t="shared" si="14"/>
        <v>WI</v>
      </c>
      <c r="X92" s="30" t="str">
        <f t="shared" si="8"/>
        <v>ILINMIMNOHWI</v>
      </c>
    </row>
    <row r="93" spans="1:24" s="18" customFormat="1" ht="109.45" x14ac:dyDescent="0.25">
      <c r="A93" s="51" t="str">
        <f>IF(ISNA(VLOOKUP(B93,Shortlist_xref!$A$5:$B$77,2,FALSE))=TRUE,"-",VLOOKUP(B93,Shortlist_xref!$A$5:$B$77,2,FALSE))</f>
        <v>-</v>
      </c>
      <c r="B93" s="3" t="s">
        <v>518</v>
      </c>
      <c r="C93" s="5" t="s">
        <v>517</v>
      </c>
      <c r="D93" s="5" t="s">
        <v>519</v>
      </c>
      <c r="E93" s="12" t="s">
        <v>12</v>
      </c>
      <c r="F93" s="17" t="s">
        <v>37</v>
      </c>
      <c r="G93" s="17" t="s">
        <v>37</v>
      </c>
      <c r="H93" s="17" t="s">
        <v>37</v>
      </c>
      <c r="I93" s="17" t="s">
        <v>37</v>
      </c>
      <c r="J93" s="17" t="s">
        <v>37</v>
      </c>
      <c r="K93" s="17" t="s">
        <v>37</v>
      </c>
      <c r="L93" s="146" t="s">
        <v>596</v>
      </c>
      <c r="M93" s="146" t="s">
        <v>597</v>
      </c>
      <c r="N93" s="146" t="s">
        <v>598</v>
      </c>
      <c r="O93" s="146" t="s">
        <v>599</v>
      </c>
      <c r="P93" s="146" t="s">
        <v>600</v>
      </c>
      <c r="Q93" s="146" t="s">
        <v>601</v>
      </c>
      <c r="R93" s="30" t="str">
        <f t="shared" si="9"/>
        <v>IL</v>
      </c>
      <c r="S93" s="30" t="str">
        <f t="shared" si="10"/>
        <v>IN</v>
      </c>
      <c r="T93" s="30" t="str">
        <f t="shared" si="11"/>
        <v>MI</v>
      </c>
      <c r="U93" s="30" t="str">
        <f t="shared" si="12"/>
        <v>MN</v>
      </c>
      <c r="V93" s="30" t="str">
        <f t="shared" si="13"/>
        <v>OH</v>
      </c>
      <c r="W93" s="30" t="str">
        <f t="shared" si="14"/>
        <v>WI</v>
      </c>
      <c r="X93" s="30" t="str">
        <f t="shared" si="8"/>
        <v>ILINMIMNOHWI</v>
      </c>
    </row>
    <row r="94" spans="1:24" s="18" customFormat="1" ht="109.45" x14ac:dyDescent="0.25">
      <c r="A94" s="51" t="str">
        <f>IF(ISNA(VLOOKUP(B94,Shortlist_xref!$A$5:$B$77,2,FALSE))=TRUE,"-",VLOOKUP(B94,Shortlist_xref!$A$5:$B$77,2,FALSE))</f>
        <v>-</v>
      </c>
      <c r="B94" s="3" t="s">
        <v>520</v>
      </c>
      <c r="C94" s="5" t="s">
        <v>51</v>
      </c>
      <c r="D94" s="5" t="s">
        <v>52</v>
      </c>
      <c r="E94" s="12" t="s">
        <v>53</v>
      </c>
      <c r="F94" s="17">
        <v>57.627634739999998</v>
      </c>
      <c r="G94" s="17">
        <v>22.015858001280005</v>
      </c>
      <c r="H94" s="17">
        <v>15.680296320000002</v>
      </c>
      <c r="I94" s="17">
        <v>14.655679891320002</v>
      </c>
      <c r="J94" s="17">
        <v>27.147203459999993</v>
      </c>
      <c r="K94" s="17">
        <v>2.7568904999999999</v>
      </c>
      <c r="L94" s="146" t="s">
        <v>596</v>
      </c>
      <c r="M94" s="146" t="s">
        <v>597</v>
      </c>
      <c r="N94" s="146" t="s">
        <v>598</v>
      </c>
      <c r="O94" s="146" t="s">
        <v>599</v>
      </c>
      <c r="P94" s="146" t="s">
        <v>600</v>
      </c>
      <c r="Q94" s="146" t="s">
        <v>601</v>
      </c>
      <c r="R94" s="30" t="str">
        <f t="shared" si="9"/>
        <v>IL</v>
      </c>
      <c r="S94" s="30" t="str">
        <f t="shared" si="10"/>
        <v>IN</v>
      </c>
      <c r="T94" s="30" t="str">
        <f t="shared" si="11"/>
        <v>MI</v>
      </c>
      <c r="U94" s="30" t="str">
        <f t="shared" si="12"/>
        <v>MN</v>
      </c>
      <c r="V94" s="30" t="str">
        <f t="shared" si="13"/>
        <v>OH</v>
      </c>
      <c r="W94" s="30" t="str">
        <f t="shared" si="14"/>
        <v>WI</v>
      </c>
      <c r="X94" s="30" t="str">
        <f t="shared" si="8"/>
        <v>ILINMIMNOHWI</v>
      </c>
    </row>
    <row r="95" spans="1:24" s="18" customFormat="1" ht="109.45" x14ac:dyDescent="0.25">
      <c r="A95" s="51" t="str">
        <f>IF(ISNA(VLOOKUP(B95,Shortlist_xref!$A$5:$B$77,2,FALSE))=TRUE,"-",VLOOKUP(B95,Shortlist_xref!$A$5:$B$77,2,FALSE))</f>
        <v>-</v>
      </c>
      <c r="B95" s="3" t="s">
        <v>521</v>
      </c>
      <c r="C95" s="5" t="s">
        <v>522</v>
      </c>
      <c r="D95" s="5" t="s">
        <v>523</v>
      </c>
      <c r="E95" s="12" t="s">
        <v>53</v>
      </c>
      <c r="F95" s="17">
        <v>0</v>
      </c>
      <c r="G95" s="17">
        <v>6.6567229649395987E-2</v>
      </c>
      <c r="H95" s="17">
        <v>0</v>
      </c>
      <c r="I95" s="17">
        <v>8.7701009418119868E-2</v>
      </c>
      <c r="J95" s="17">
        <v>0</v>
      </c>
      <c r="K95" s="17">
        <v>0</v>
      </c>
      <c r="L95" s="146" t="s">
        <v>596</v>
      </c>
      <c r="M95" s="146" t="s">
        <v>597</v>
      </c>
      <c r="N95" s="146" t="s">
        <v>598</v>
      </c>
      <c r="O95" s="146" t="s">
        <v>599</v>
      </c>
      <c r="P95" s="146" t="s">
        <v>600</v>
      </c>
      <c r="Q95" s="146" t="s">
        <v>601</v>
      </c>
      <c r="R95" s="30" t="str">
        <f t="shared" si="9"/>
        <v>IL</v>
      </c>
      <c r="S95" s="30" t="str">
        <f t="shared" si="10"/>
        <v>IN</v>
      </c>
      <c r="T95" s="30" t="str">
        <f t="shared" si="11"/>
        <v>MI</v>
      </c>
      <c r="U95" s="30" t="str">
        <f t="shared" si="12"/>
        <v>MN</v>
      </c>
      <c r="V95" s="30" t="str">
        <f t="shared" si="13"/>
        <v>OH</v>
      </c>
      <c r="W95" s="30" t="str">
        <f t="shared" si="14"/>
        <v>WI</v>
      </c>
      <c r="X95" s="30" t="str">
        <f t="shared" si="8"/>
        <v>ILINMIMNOHWI</v>
      </c>
    </row>
    <row r="96" spans="1:24" s="18" customFormat="1" x14ac:dyDescent="0.25">
      <c r="A96" s="51" t="str">
        <f>IF(ISNA(VLOOKUP(B96,Shortlist_xref!$A$5:$B$77,2,FALSE))=TRUE,"-",VLOOKUP(B96,Shortlist_xref!$A$5:$B$77,2,FALSE))</f>
        <v>-</v>
      </c>
      <c r="B96" s="3" t="s">
        <v>524</v>
      </c>
      <c r="C96" s="5" t="s">
        <v>525</v>
      </c>
      <c r="D96" s="5" t="s">
        <v>526</v>
      </c>
      <c r="E96" s="12" t="s">
        <v>53</v>
      </c>
      <c r="F96" s="17">
        <v>1.6445214500000001</v>
      </c>
      <c r="G96" s="17">
        <v>9.2534000000000027</v>
      </c>
      <c r="H96" s="17">
        <v>1.1811800000000001</v>
      </c>
      <c r="I96" s="17">
        <v>1.2721274149999999</v>
      </c>
      <c r="J96" s="17">
        <v>5.4385500000000011</v>
      </c>
      <c r="K96" s="17">
        <v>1.29844</v>
      </c>
      <c r="L96" s="146" t="s">
        <v>381</v>
      </c>
      <c r="M96" s="146" t="s">
        <v>381</v>
      </c>
      <c r="N96" s="146" t="s">
        <v>381</v>
      </c>
      <c r="O96" s="146" t="s">
        <v>381</v>
      </c>
      <c r="P96" s="146" t="s">
        <v>381</v>
      </c>
      <c r="Q96" s="146" t="s">
        <v>381</v>
      </c>
      <c r="R96" s="30" t="str">
        <f t="shared" si="9"/>
        <v/>
      </c>
      <c r="S96" s="30" t="str">
        <f t="shared" si="10"/>
        <v/>
      </c>
      <c r="T96" s="30" t="str">
        <f t="shared" si="11"/>
        <v/>
      </c>
      <c r="U96" s="30" t="str">
        <f t="shared" si="12"/>
        <v/>
      </c>
      <c r="V96" s="30" t="str">
        <f t="shared" si="13"/>
        <v/>
      </c>
      <c r="W96" s="30" t="str">
        <f t="shared" si="14"/>
        <v/>
      </c>
      <c r="X96" s="30" t="str">
        <f t="shared" si="8"/>
        <v/>
      </c>
    </row>
    <row r="97" spans="1:24" s="18" customFormat="1" ht="109.45" x14ac:dyDescent="0.25">
      <c r="A97" s="51" t="str">
        <f>IF(ISNA(VLOOKUP(B97,Shortlist_xref!$A$5:$B$77,2,FALSE))=TRUE,"-",VLOOKUP(B97,Shortlist_xref!$A$5:$B$77,2,FALSE))</f>
        <v>-</v>
      </c>
      <c r="B97" s="3" t="s">
        <v>527</v>
      </c>
      <c r="C97" s="5" t="s">
        <v>54</v>
      </c>
      <c r="D97" s="5" t="s">
        <v>528</v>
      </c>
      <c r="E97" s="12" t="s">
        <v>53</v>
      </c>
      <c r="F97" s="17">
        <v>0</v>
      </c>
      <c r="G97" s="17">
        <v>0</v>
      </c>
      <c r="H97" s="17">
        <v>0</v>
      </c>
      <c r="I97" s="17">
        <v>0</v>
      </c>
      <c r="J97" s="17">
        <v>0</v>
      </c>
      <c r="K97" s="17">
        <v>0</v>
      </c>
      <c r="L97" s="146" t="s">
        <v>596</v>
      </c>
      <c r="M97" s="146" t="s">
        <v>597</v>
      </c>
      <c r="N97" s="146" t="s">
        <v>598</v>
      </c>
      <c r="O97" s="146" t="s">
        <v>599</v>
      </c>
      <c r="P97" s="146" t="s">
        <v>600</v>
      </c>
      <c r="Q97" s="146" t="s">
        <v>601</v>
      </c>
      <c r="R97" s="30" t="str">
        <f t="shared" si="9"/>
        <v>IL</v>
      </c>
      <c r="S97" s="30" t="str">
        <f t="shared" si="10"/>
        <v>IN</v>
      </c>
      <c r="T97" s="30" t="str">
        <f t="shared" si="11"/>
        <v>MI</v>
      </c>
      <c r="U97" s="30" t="str">
        <f t="shared" si="12"/>
        <v>MN</v>
      </c>
      <c r="V97" s="30" t="str">
        <f t="shared" si="13"/>
        <v>OH</v>
      </c>
      <c r="W97" s="30" t="str">
        <f t="shared" si="14"/>
        <v>WI</v>
      </c>
      <c r="X97" s="30" t="str">
        <f t="shared" si="8"/>
        <v>ILINMIMNOHWI</v>
      </c>
    </row>
    <row r="98" spans="1:24" s="18" customFormat="1" ht="109.45" x14ac:dyDescent="0.25">
      <c r="A98" s="51" t="str">
        <f>IF(ISNA(VLOOKUP(B98,Shortlist_xref!$A$5:$B$77,2,FALSE))=TRUE,"-",VLOOKUP(B98,Shortlist_xref!$A$5:$B$77,2,FALSE))</f>
        <v>-</v>
      </c>
      <c r="B98" s="3" t="s">
        <v>531</v>
      </c>
      <c r="C98" s="5" t="s">
        <v>54</v>
      </c>
      <c r="D98" s="5" t="s">
        <v>532</v>
      </c>
      <c r="E98" s="12" t="s">
        <v>53</v>
      </c>
      <c r="F98" s="17">
        <v>0.39992110600000003</v>
      </c>
      <c r="G98" s="17">
        <v>0.28033000000000002</v>
      </c>
      <c r="H98" s="17">
        <v>5.05467E-2</v>
      </c>
      <c r="I98" s="17">
        <v>0</v>
      </c>
      <c r="J98" s="17">
        <v>0.49965185000000001</v>
      </c>
      <c r="K98" s="17">
        <v>1.2487218736061023E-3</v>
      </c>
      <c r="L98" s="146" t="s">
        <v>596</v>
      </c>
      <c r="M98" s="146" t="s">
        <v>597</v>
      </c>
      <c r="N98" s="146" t="s">
        <v>598</v>
      </c>
      <c r="O98" s="146" t="s">
        <v>599</v>
      </c>
      <c r="P98" s="146" t="s">
        <v>600</v>
      </c>
      <c r="Q98" s="146" t="s">
        <v>601</v>
      </c>
      <c r="R98" s="30" t="str">
        <f t="shared" si="9"/>
        <v>IL</v>
      </c>
      <c r="S98" s="30" t="str">
        <f t="shared" si="10"/>
        <v>IN</v>
      </c>
      <c r="T98" s="30" t="str">
        <f t="shared" si="11"/>
        <v>MI</v>
      </c>
      <c r="U98" s="30" t="str">
        <f t="shared" si="12"/>
        <v>MN</v>
      </c>
      <c r="V98" s="30" t="str">
        <f t="shared" si="13"/>
        <v>OH</v>
      </c>
      <c r="W98" s="30" t="str">
        <f t="shared" si="14"/>
        <v>WI</v>
      </c>
      <c r="X98" s="30" t="str">
        <f t="shared" si="8"/>
        <v>ILINMIMNOHWI</v>
      </c>
    </row>
    <row r="99" spans="1:24" s="18" customFormat="1" ht="109.45" x14ac:dyDescent="0.25">
      <c r="A99" s="51" t="str">
        <f>IF(ISNA(VLOOKUP(B99,Shortlist_xref!$A$5:$B$77,2,FALSE))=TRUE,"-",VLOOKUP(B99,Shortlist_xref!$A$5:$B$77,2,FALSE))</f>
        <v>-</v>
      </c>
      <c r="B99" s="3" t="s">
        <v>535</v>
      </c>
      <c r="C99" s="5" t="s">
        <v>54</v>
      </c>
      <c r="D99" s="5" t="s">
        <v>536</v>
      </c>
      <c r="E99" s="12" t="s">
        <v>53</v>
      </c>
      <c r="F99" s="17">
        <v>0.40610545300000006</v>
      </c>
      <c r="G99" s="17">
        <v>0.28466500000000006</v>
      </c>
      <c r="H99" s="17">
        <v>5.1328350000000002E-2</v>
      </c>
      <c r="I99" s="17">
        <v>0</v>
      </c>
      <c r="J99" s="17">
        <v>0.50737842500000008</v>
      </c>
      <c r="K99" s="17">
        <v>1.2680320056721762E-3</v>
      </c>
      <c r="L99" s="146" t="s">
        <v>596</v>
      </c>
      <c r="M99" s="146" t="s">
        <v>597</v>
      </c>
      <c r="N99" s="146" t="s">
        <v>598</v>
      </c>
      <c r="O99" s="146" t="s">
        <v>599</v>
      </c>
      <c r="P99" s="146" t="s">
        <v>600</v>
      </c>
      <c r="Q99" s="146" t="s">
        <v>601</v>
      </c>
      <c r="R99" s="30" t="str">
        <f t="shared" si="9"/>
        <v>IL</v>
      </c>
      <c r="S99" s="30" t="str">
        <f t="shared" si="10"/>
        <v>IN</v>
      </c>
      <c r="T99" s="30" t="str">
        <f t="shared" si="11"/>
        <v>MI</v>
      </c>
      <c r="U99" s="30" t="str">
        <f t="shared" si="12"/>
        <v>MN</v>
      </c>
      <c r="V99" s="30" t="str">
        <f t="shared" si="13"/>
        <v>OH</v>
      </c>
      <c r="W99" s="30" t="str">
        <f t="shared" si="14"/>
        <v>WI</v>
      </c>
      <c r="X99" s="30" t="str">
        <f t="shared" si="8"/>
        <v>ILINMIMNOHWI</v>
      </c>
    </row>
    <row r="100" spans="1:24" s="18" customFormat="1" ht="109.45" x14ac:dyDescent="0.25">
      <c r="A100" s="51" t="str">
        <f>IF(ISNA(VLOOKUP(B100,Shortlist_xref!$A$5:$B$77,2,FALSE))=TRUE,"-",VLOOKUP(B100,Shortlist_xref!$A$5:$B$77,2,FALSE))</f>
        <v>-</v>
      </c>
      <c r="B100" s="3" t="s">
        <v>539</v>
      </c>
      <c r="C100" s="5" t="s">
        <v>54</v>
      </c>
      <c r="D100" s="5" t="s">
        <v>540</v>
      </c>
      <c r="E100" s="12" t="s">
        <v>53</v>
      </c>
      <c r="F100" s="17">
        <v>0.40404400400000001</v>
      </c>
      <c r="G100" s="17">
        <v>0.28322000000000003</v>
      </c>
      <c r="H100" s="17">
        <v>5.1067800000000003E-2</v>
      </c>
      <c r="I100" s="17">
        <v>0</v>
      </c>
      <c r="J100" s="17">
        <v>0.50480290000000005</v>
      </c>
      <c r="K100" s="17">
        <v>1.261595294983485E-3</v>
      </c>
      <c r="L100" s="146" t="s">
        <v>596</v>
      </c>
      <c r="M100" s="146" t="s">
        <v>597</v>
      </c>
      <c r="N100" s="146" t="s">
        <v>598</v>
      </c>
      <c r="O100" s="146" t="s">
        <v>599</v>
      </c>
      <c r="P100" s="146" t="s">
        <v>600</v>
      </c>
      <c r="Q100" s="146" t="s">
        <v>601</v>
      </c>
      <c r="R100" s="30" t="str">
        <f t="shared" si="9"/>
        <v>IL</v>
      </c>
      <c r="S100" s="30" t="str">
        <f t="shared" si="10"/>
        <v>IN</v>
      </c>
      <c r="T100" s="30" t="str">
        <f t="shared" si="11"/>
        <v>MI</v>
      </c>
      <c r="U100" s="30" t="str">
        <f t="shared" si="12"/>
        <v>MN</v>
      </c>
      <c r="V100" s="30" t="str">
        <f t="shared" si="13"/>
        <v>OH</v>
      </c>
      <c r="W100" s="30" t="str">
        <f t="shared" si="14"/>
        <v>WI</v>
      </c>
      <c r="X100" s="30" t="str">
        <f t="shared" si="8"/>
        <v>ILINMIMNOHWI</v>
      </c>
    </row>
    <row r="101" spans="1:24" s="18" customFormat="1" ht="109.45" x14ac:dyDescent="0.25">
      <c r="A101" s="51" t="str">
        <f>IF(ISNA(VLOOKUP(B101,Shortlist_xref!$A$5:$B$77,2,FALSE))=TRUE,"-",VLOOKUP(B101,Shortlist_xref!$A$5:$B$77,2,FALSE))</f>
        <v>C-E</v>
      </c>
      <c r="B101" s="3" t="s">
        <v>55</v>
      </c>
      <c r="C101" s="5" t="s">
        <v>54</v>
      </c>
      <c r="D101" s="5" t="s">
        <v>56</v>
      </c>
      <c r="E101" s="12" t="s">
        <v>53</v>
      </c>
      <c r="F101" s="17">
        <v>0.32983184000000004</v>
      </c>
      <c r="G101" s="17">
        <v>0.23120000000000004</v>
      </c>
      <c r="H101" s="17">
        <v>4.1688000000000003E-2</v>
      </c>
      <c r="I101" s="17">
        <v>0</v>
      </c>
      <c r="J101" s="17">
        <v>0.41208400000000006</v>
      </c>
      <c r="K101" s="17">
        <v>1.0298737101906001E-3</v>
      </c>
      <c r="L101" s="146" t="s">
        <v>596</v>
      </c>
      <c r="M101" s="146" t="s">
        <v>597</v>
      </c>
      <c r="N101" s="146" t="s">
        <v>598</v>
      </c>
      <c r="O101" s="146" t="s">
        <v>599</v>
      </c>
      <c r="P101" s="146" t="s">
        <v>600</v>
      </c>
      <c r="Q101" s="146" t="s">
        <v>601</v>
      </c>
      <c r="R101" s="30" t="str">
        <f t="shared" si="9"/>
        <v>IL</v>
      </c>
      <c r="S101" s="30" t="str">
        <f t="shared" si="10"/>
        <v>IN</v>
      </c>
      <c r="T101" s="30" t="str">
        <f t="shared" si="11"/>
        <v>MI</v>
      </c>
      <c r="U101" s="30" t="str">
        <f t="shared" si="12"/>
        <v>MN</v>
      </c>
      <c r="V101" s="30" t="str">
        <f t="shared" si="13"/>
        <v>OH</v>
      </c>
      <c r="W101" s="30" t="str">
        <f t="shared" si="14"/>
        <v>WI</v>
      </c>
      <c r="X101" s="30" t="str">
        <f t="shared" si="8"/>
        <v>ILINMIMNOHWI</v>
      </c>
    </row>
    <row r="102" spans="1:24" s="18" customFormat="1" ht="109.45" x14ac:dyDescent="0.25">
      <c r="A102" s="51" t="str">
        <f>IF(ISNA(VLOOKUP(B102,Shortlist_xref!$A$5:$B$77,2,FALSE))=TRUE,"-",VLOOKUP(B102,Shortlist_xref!$A$5:$B$77,2,FALSE))</f>
        <v>C-E</v>
      </c>
      <c r="B102" s="3" t="s">
        <v>57</v>
      </c>
      <c r="C102" s="5" t="s">
        <v>58</v>
      </c>
      <c r="D102" s="5" t="s">
        <v>59</v>
      </c>
      <c r="E102" s="12" t="s">
        <v>53</v>
      </c>
      <c r="F102" s="17">
        <v>0</v>
      </c>
      <c r="G102" s="17">
        <v>0.62320447365244103</v>
      </c>
      <c r="H102" s="17">
        <v>0.15355590468637997</v>
      </c>
      <c r="I102" s="17">
        <v>0</v>
      </c>
      <c r="J102" s="17">
        <v>8.4274616814278804</v>
      </c>
      <c r="K102" s="17">
        <v>0</v>
      </c>
      <c r="L102" s="146" t="s">
        <v>596</v>
      </c>
      <c r="M102" s="146" t="s">
        <v>597</v>
      </c>
      <c r="N102" s="146" t="s">
        <v>598</v>
      </c>
      <c r="O102" s="146" t="s">
        <v>599</v>
      </c>
      <c r="P102" s="146" t="s">
        <v>600</v>
      </c>
      <c r="Q102" s="146" t="s">
        <v>601</v>
      </c>
      <c r="R102" s="30" t="str">
        <f t="shared" si="9"/>
        <v>IL</v>
      </c>
      <c r="S102" s="30" t="str">
        <f t="shared" si="10"/>
        <v>IN</v>
      </c>
      <c r="T102" s="30" t="str">
        <f t="shared" si="11"/>
        <v>MI</v>
      </c>
      <c r="U102" s="30" t="str">
        <f t="shared" si="12"/>
        <v>MN</v>
      </c>
      <c r="V102" s="30" t="str">
        <f t="shared" si="13"/>
        <v>OH</v>
      </c>
      <c r="W102" s="30" t="str">
        <f t="shared" si="14"/>
        <v>WI</v>
      </c>
      <c r="X102" s="30" t="str">
        <f t="shared" si="8"/>
        <v>ILINMIMNOHWI</v>
      </c>
    </row>
    <row r="103" spans="1:24" s="18" customFormat="1" ht="109.45" x14ac:dyDescent="0.25">
      <c r="A103" s="51" t="str">
        <f>IF(ISNA(VLOOKUP(B103,Shortlist_xref!$A$5:$B$77,2,FALSE))=TRUE,"-",VLOOKUP(B103,Shortlist_xref!$A$5:$B$77,2,FALSE))</f>
        <v>C-E</v>
      </c>
      <c r="B103" s="3" t="s">
        <v>60</v>
      </c>
      <c r="C103" s="5" t="s">
        <v>58</v>
      </c>
      <c r="D103" s="5" t="s">
        <v>61</v>
      </c>
      <c r="E103" s="12" t="s">
        <v>53</v>
      </c>
      <c r="F103" s="17">
        <v>0</v>
      </c>
      <c r="G103" s="17">
        <v>0.75229682890901817</v>
      </c>
      <c r="H103" s="17">
        <v>0.18536391351427298</v>
      </c>
      <c r="I103" s="17">
        <v>0</v>
      </c>
      <c r="J103" s="17">
        <v>10.173150172580799</v>
      </c>
      <c r="K103" s="17">
        <v>0</v>
      </c>
      <c r="L103" s="146" t="s">
        <v>596</v>
      </c>
      <c r="M103" s="146" t="s">
        <v>597</v>
      </c>
      <c r="N103" s="146" t="s">
        <v>598</v>
      </c>
      <c r="O103" s="146" t="s">
        <v>599</v>
      </c>
      <c r="P103" s="146" t="s">
        <v>600</v>
      </c>
      <c r="Q103" s="146" t="s">
        <v>601</v>
      </c>
      <c r="R103" s="30" t="str">
        <f t="shared" si="9"/>
        <v>IL</v>
      </c>
      <c r="S103" s="30" t="str">
        <f t="shared" si="10"/>
        <v>IN</v>
      </c>
      <c r="T103" s="30" t="str">
        <f t="shared" si="11"/>
        <v>MI</v>
      </c>
      <c r="U103" s="30" t="str">
        <f t="shared" si="12"/>
        <v>MN</v>
      </c>
      <c r="V103" s="30" t="str">
        <f t="shared" si="13"/>
        <v>OH</v>
      </c>
      <c r="W103" s="30" t="str">
        <f t="shared" si="14"/>
        <v>WI</v>
      </c>
      <c r="X103" s="30" t="str">
        <f t="shared" si="8"/>
        <v>ILINMIMNOHWI</v>
      </c>
    </row>
    <row r="104" spans="1:24" s="18" customFormat="1" ht="109.45" x14ac:dyDescent="0.25">
      <c r="A104" s="51" t="str">
        <f>IF(ISNA(VLOOKUP(B104,Shortlist_xref!$A$5:$B$77,2,FALSE))=TRUE,"-",VLOOKUP(B104,Shortlist_xref!$A$5:$B$77,2,FALSE))</f>
        <v>-</v>
      </c>
      <c r="B104" s="3" t="s">
        <v>548</v>
      </c>
      <c r="C104" s="5" t="s">
        <v>549</v>
      </c>
      <c r="D104" s="5" t="s">
        <v>550</v>
      </c>
      <c r="E104" s="12" t="s">
        <v>53</v>
      </c>
      <c r="F104" s="17">
        <v>165.28106131797767</v>
      </c>
      <c r="G104" s="17">
        <v>22.23272629567143</v>
      </c>
      <c r="H104" s="17">
        <v>11.441167067813129</v>
      </c>
      <c r="I104" s="17">
        <v>14.098905753688134</v>
      </c>
      <c r="J104" s="17">
        <v>19.907541002704583</v>
      </c>
      <c r="K104" s="17">
        <v>62.360158287666444</v>
      </c>
      <c r="L104" s="146" t="s">
        <v>596</v>
      </c>
      <c r="M104" s="146" t="s">
        <v>597</v>
      </c>
      <c r="N104" s="146" t="s">
        <v>598</v>
      </c>
      <c r="O104" s="146" t="s">
        <v>599</v>
      </c>
      <c r="P104" s="146" t="s">
        <v>600</v>
      </c>
      <c r="Q104" s="146" t="s">
        <v>601</v>
      </c>
      <c r="R104" s="30" t="str">
        <f t="shared" si="9"/>
        <v>IL</v>
      </c>
      <c r="S104" s="30" t="str">
        <f t="shared" si="10"/>
        <v>IN</v>
      </c>
      <c r="T104" s="30" t="str">
        <f t="shared" si="11"/>
        <v>MI</v>
      </c>
      <c r="U104" s="30" t="str">
        <f t="shared" si="12"/>
        <v>MN</v>
      </c>
      <c r="V104" s="30" t="str">
        <f t="shared" si="13"/>
        <v>OH</v>
      </c>
      <c r="W104" s="30" t="str">
        <f t="shared" si="14"/>
        <v>WI</v>
      </c>
      <c r="X104" s="30" t="str">
        <f t="shared" si="8"/>
        <v>ILINMIMNOHWI</v>
      </c>
    </row>
    <row r="105" spans="1:24" s="18" customFormat="1" ht="109.45" x14ac:dyDescent="0.25">
      <c r="A105" s="51" t="str">
        <f>IF(ISNA(VLOOKUP(B105,Shortlist_xref!$A$5:$B$77,2,FALSE))=TRUE,"-",VLOOKUP(B105,Shortlist_xref!$A$5:$B$77,2,FALSE))</f>
        <v>-</v>
      </c>
      <c r="B105" s="3" t="s">
        <v>553</v>
      </c>
      <c r="C105" s="5" t="s">
        <v>554</v>
      </c>
      <c r="D105" s="5" t="s">
        <v>555</v>
      </c>
      <c r="E105" s="12" t="s">
        <v>53</v>
      </c>
      <c r="F105" s="17" t="s">
        <v>37</v>
      </c>
      <c r="G105" s="17" t="s">
        <v>37</v>
      </c>
      <c r="H105" s="17" t="s">
        <v>37</v>
      </c>
      <c r="I105" s="17" t="s">
        <v>37</v>
      </c>
      <c r="J105" s="17" t="s">
        <v>37</v>
      </c>
      <c r="K105" s="17" t="s">
        <v>37</v>
      </c>
      <c r="L105" s="146" t="s">
        <v>596</v>
      </c>
      <c r="M105" s="146" t="s">
        <v>597</v>
      </c>
      <c r="N105" s="146" t="s">
        <v>598</v>
      </c>
      <c r="O105" s="146" t="s">
        <v>599</v>
      </c>
      <c r="P105" s="146" t="s">
        <v>600</v>
      </c>
      <c r="Q105" s="146" t="s">
        <v>601</v>
      </c>
      <c r="R105" s="30" t="str">
        <f t="shared" si="9"/>
        <v>IL</v>
      </c>
      <c r="S105" s="30" t="str">
        <f t="shared" si="10"/>
        <v>IN</v>
      </c>
      <c r="T105" s="30" t="str">
        <f t="shared" si="11"/>
        <v>MI</v>
      </c>
      <c r="U105" s="30" t="str">
        <f t="shared" si="12"/>
        <v>MN</v>
      </c>
      <c r="V105" s="30" t="str">
        <f t="shared" si="13"/>
        <v>OH</v>
      </c>
      <c r="W105" s="30" t="str">
        <f t="shared" si="14"/>
        <v>WI</v>
      </c>
      <c r="X105" s="30" t="str">
        <f t="shared" si="8"/>
        <v>ILINMIMNOHWI</v>
      </c>
    </row>
    <row r="106" spans="1:24" s="18" customFormat="1" ht="109.45" x14ac:dyDescent="0.25">
      <c r="A106" s="51" t="str">
        <f>IF(ISNA(VLOOKUP(B106,Shortlist_xref!$A$5:$B$77,2,FALSE))=TRUE,"-",VLOOKUP(B106,Shortlist_xref!$A$5:$B$77,2,FALSE))</f>
        <v>-</v>
      </c>
      <c r="B106" s="3" t="s">
        <v>556</v>
      </c>
      <c r="C106" s="5" t="s">
        <v>554</v>
      </c>
      <c r="D106" s="5" t="s">
        <v>557</v>
      </c>
      <c r="E106" s="12" t="s">
        <v>53</v>
      </c>
      <c r="F106" s="17" t="s">
        <v>37</v>
      </c>
      <c r="G106" s="17" t="s">
        <v>37</v>
      </c>
      <c r="H106" s="17" t="s">
        <v>37</v>
      </c>
      <c r="I106" s="17" t="s">
        <v>37</v>
      </c>
      <c r="J106" s="17" t="s">
        <v>37</v>
      </c>
      <c r="K106" s="17" t="s">
        <v>37</v>
      </c>
      <c r="L106" s="146" t="s">
        <v>596</v>
      </c>
      <c r="M106" s="146" t="s">
        <v>597</v>
      </c>
      <c r="N106" s="146" t="s">
        <v>598</v>
      </c>
      <c r="O106" s="146" t="s">
        <v>599</v>
      </c>
      <c r="P106" s="146" t="s">
        <v>600</v>
      </c>
      <c r="Q106" s="146" t="s">
        <v>601</v>
      </c>
      <c r="R106" s="30" t="str">
        <f t="shared" si="9"/>
        <v>IL</v>
      </c>
      <c r="S106" s="30" t="str">
        <f t="shared" si="10"/>
        <v>IN</v>
      </c>
      <c r="T106" s="30" t="str">
        <f t="shared" si="11"/>
        <v>MI</v>
      </c>
      <c r="U106" s="30" t="str">
        <f t="shared" si="12"/>
        <v>MN</v>
      </c>
      <c r="V106" s="30" t="str">
        <f t="shared" si="13"/>
        <v>OH</v>
      </c>
      <c r="W106" s="30" t="str">
        <f t="shared" si="14"/>
        <v>WI</v>
      </c>
      <c r="X106" s="30" t="str">
        <f t="shared" si="8"/>
        <v>ILINMIMNOHWI</v>
      </c>
    </row>
    <row r="107" spans="1:24" s="18" customFormat="1" ht="109.45" x14ac:dyDescent="0.25">
      <c r="A107" s="51" t="str">
        <f>IF(ISNA(VLOOKUP(B107,Shortlist_xref!$A$5:$B$77,2,FALSE))=TRUE,"-",VLOOKUP(B107,Shortlist_xref!$A$5:$B$77,2,FALSE))</f>
        <v>-</v>
      </c>
      <c r="B107" s="3" t="s">
        <v>558</v>
      </c>
      <c r="C107" s="5" t="s">
        <v>559</v>
      </c>
      <c r="D107" s="5" t="s">
        <v>560</v>
      </c>
      <c r="E107" s="12" t="s">
        <v>53</v>
      </c>
      <c r="F107" s="17" t="s">
        <v>37</v>
      </c>
      <c r="G107" s="17" t="s">
        <v>37</v>
      </c>
      <c r="H107" s="17" t="s">
        <v>37</v>
      </c>
      <c r="I107" s="17" t="s">
        <v>37</v>
      </c>
      <c r="J107" s="17" t="s">
        <v>37</v>
      </c>
      <c r="K107" s="17" t="s">
        <v>37</v>
      </c>
      <c r="L107" s="146" t="s">
        <v>596</v>
      </c>
      <c r="M107" s="146" t="s">
        <v>597</v>
      </c>
      <c r="N107" s="146" t="s">
        <v>598</v>
      </c>
      <c r="O107" s="146" t="s">
        <v>599</v>
      </c>
      <c r="P107" s="146" t="s">
        <v>600</v>
      </c>
      <c r="Q107" s="146" t="s">
        <v>601</v>
      </c>
      <c r="R107" s="30" t="str">
        <f t="shared" si="9"/>
        <v>IL</v>
      </c>
      <c r="S107" s="30" t="str">
        <f t="shared" si="10"/>
        <v>IN</v>
      </c>
      <c r="T107" s="30" t="str">
        <f t="shared" si="11"/>
        <v>MI</v>
      </c>
      <c r="U107" s="30" t="str">
        <f t="shared" si="12"/>
        <v>MN</v>
      </c>
      <c r="V107" s="30" t="str">
        <f t="shared" si="13"/>
        <v>OH</v>
      </c>
      <c r="W107" s="30" t="str">
        <f t="shared" si="14"/>
        <v>WI</v>
      </c>
      <c r="X107" s="30" t="str">
        <f t="shared" si="8"/>
        <v>ILINMIMNOHWI</v>
      </c>
    </row>
    <row r="108" spans="1:24" s="18" customFormat="1" ht="109.45" x14ac:dyDescent="0.25">
      <c r="A108" s="51" t="str">
        <f>IF(ISNA(VLOOKUP(B108,Shortlist_xref!$A$5:$B$77,2,FALSE))=TRUE,"-",VLOOKUP(B108,Shortlist_xref!$A$5:$B$77,2,FALSE))</f>
        <v>-</v>
      </c>
      <c r="B108" s="3" t="s">
        <v>561</v>
      </c>
      <c r="C108" s="5" t="s">
        <v>559</v>
      </c>
      <c r="D108" s="5" t="s">
        <v>562</v>
      </c>
      <c r="E108" s="12" t="s">
        <v>53</v>
      </c>
      <c r="F108" s="17" t="s">
        <v>37</v>
      </c>
      <c r="G108" s="17" t="s">
        <v>37</v>
      </c>
      <c r="H108" s="17" t="s">
        <v>37</v>
      </c>
      <c r="I108" s="17" t="s">
        <v>37</v>
      </c>
      <c r="J108" s="17" t="s">
        <v>37</v>
      </c>
      <c r="K108" s="17" t="s">
        <v>37</v>
      </c>
      <c r="L108" s="146" t="s">
        <v>596</v>
      </c>
      <c r="M108" s="146" t="s">
        <v>597</v>
      </c>
      <c r="N108" s="146" t="s">
        <v>598</v>
      </c>
      <c r="O108" s="146" t="s">
        <v>599</v>
      </c>
      <c r="P108" s="146" t="s">
        <v>600</v>
      </c>
      <c r="Q108" s="146" t="s">
        <v>601</v>
      </c>
      <c r="R108" s="30" t="str">
        <f t="shared" si="9"/>
        <v>IL</v>
      </c>
      <c r="S108" s="30" t="str">
        <f t="shared" si="10"/>
        <v>IN</v>
      </c>
      <c r="T108" s="30" t="str">
        <f t="shared" si="11"/>
        <v>MI</v>
      </c>
      <c r="U108" s="30" t="str">
        <f t="shared" si="12"/>
        <v>MN</v>
      </c>
      <c r="V108" s="30" t="str">
        <f t="shared" si="13"/>
        <v>OH</v>
      </c>
      <c r="W108" s="30" t="str">
        <f t="shared" si="14"/>
        <v>WI</v>
      </c>
      <c r="X108" s="30" t="str">
        <f t="shared" si="8"/>
        <v>ILINMIMNOHWI</v>
      </c>
    </row>
    <row r="109" spans="1:24" s="18" customFormat="1" ht="109.45" x14ac:dyDescent="0.25">
      <c r="A109" s="51" t="str">
        <f>IF(ISNA(VLOOKUP(B109,Shortlist_xref!$A$5:$B$77,2,FALSE))=TRUE,"-",VLOOKUP(B109,Shortlist_xref!$A$5:$B$77,2,FALSE))</f>
        <v>-</v>
      </c>
      <c r="B109" s="3" t="s">
        <v>563</v>
      </c>
      <c r="C109" s="5" t="s">
        <v>564</v>
      </c>
      <c r="D109" s="5" t="s">
        <v>565</v>
      </c>
      <c r="E109" s="12" t="s">
        <v>53</v>
      </c>
      <c r="F109" s="17" t="s">
        <v>37</v>
      </c>
      <c r="G109" s="17" t="s">
        <v>37</v>
      </c>
      <c r="H109" s="17" t="s">
        <v>37</v>
      </c>
      <c r="I109" s="17" t="s">
        <v>37</v>
      </c>
      <c r="J109" s="17" t="s">
        <v>37</v>
      </c>
      <c r="K109" s="17" t="s">
        <v>37</v>
      </c>
      <c r="L109" s="146" t="s">
        <v>596</v>
      </c>
      <c r="M109" s="146" t="s">
        <v>597</v>
      </c>
      <c r="N109" s="146" t="s">
        <v>598</v>
      </c>
      <c r="O109" s="146" t="s">
        <v>599</v>
      </c>
      <c r="P109" s="146" t="s">
        <v>600</v>
      </c>
      <c r="Q109" s="146" t="s">
        <v>601</v>
      </c>
      <c r="R109" s="30" t="str">
        <f t="shared" si="9"/>
        <v>IL</v>
      </c>
      <c r="S109" s="30" t="str">
        <f t="shared" si="10"/>
        <v>IN</v>
      </c>
      <c r="T109" s="30" t="str">
        <f t="shared" si="11"/>
        <v>MI</v>
      </c>
      <c r="U109" s="30" t="str">
        <f t="shared" si="12"/>
        <v>MN</v>
      </c>
      <c r="V109" s="30" t="str">
        <f t="shared" si="13"/>
        <v>OH</v>
      </c>
      <c r="W109" s="30" t="str">
        <f t="shared" si="14"/>
        <v>WI</v>
      </c>
      <c r="X109" s="30" t="str">
        <f t="shared" si="8"/>
        <v>ILINMIMNOHWI</v>
      </c>
    </row>
    <row r="110" spans="1:24" s="18" customFormat="1" x14ac:dyDescent="0.25">
      <c r="A110" s="51" t="str">
        <f>IF(ISNA(VLOOKUP(B110,Shortlist_xref!$A$5:$B$77,2,FALSE))=TRUE,"-",VLOOKUP(B110,Shortlist_xref!$A$5:$B$77,2,FALSE))</f>
        <v>-</v>
      </c>
      <c r="B110" s="3" t="s">
        <v>568</v>
      </c>
      <c r="C110" s="5" t="s">
        <v>569</v>
      </c>
      <c r="D110" s="5" t="s">
        <v>570</v>
      </c>
      <c r="E110" s="12" t="s">
        <v>12</v>
      </c>
      <c r="F110" s="17" t="s">
        <v>37</v>
      </c>
      <c r="G110" s="17" t="s">
        <v>37</v>
      </c>
      <c r="H110" s="17" t="s">
        <v>37</v>
      </c>
      <c r="I110" s="17" t="s">
        <v>37</v>
      </c>
      <c r="J110" s="17" t="s">
        <v>37</v>
      </c>
      <c r="K110" s="17" t="s">
        <v>37</v>
      </c>
      <c r="L110" s="146" t="s">
        <v>381</v>
      </c>
      <c r="M110" s="146" t="s">
        <v>381</v>
      </c>
      <c r="N110" s="146" t="s">
        <v>381</v>
      </c>
      <c r="O110" s="146" t="s">
        <v>381</v>
      </c>
      <c r="P110" s="146" t="s">
        <v>381</v>
      </c>
      <c r="Q110" s="146" t="s">
        <v>381</v>
      </c>
      <c r="R110" s="30" t="str">
        <f t="shared" si="9"/>
        <v/>
      </c>
      <c r="S110" s="30" t="str">
        <f t="shared" si="10"/>
        <v/>
      </c>
      <c r="T110" s="30" t="str">
        <f t="shared" si="11"/>
        <v/>
      </c>
      <c r="U110" s="30" t="str">
        <f t="shared" si="12"/>
        <v/>
      </c>
      <c r="V110" s="30" t="str">
        <f t="shared" si="13"/>
        <v/>
      </c>
      <c r="W110" s="30" t="str">
        <f t="shared" si="14"/>
        <v/>
      </c>
      <c r="X110" s="30" t="str">
        <f t="shared" si="8"/>
        <v/>
      </c>
    </row>
    <row r="111" spans="1:24" s="18" customFormat="1" ht="48.4" x14ac:dyDescent="0.25">
      <c r="A111" s="51" t="str">
        <f>IF(ISNA(VLOOKUP(B111,Shortlist_xref!$A$5:$B$77,2,FALSE))=TRUE,"-",VLOOKUP(B111,Shortlist_xref!$A$5:$B$77,2,FALSE))</f>
        <v>-</v>
      </c>
      <c r="B111" s="3" t="s">
        <v>572</v>
      </c>
      <c r="C111" s="5" t="s">
        <v>573</v>
      </c>
      <c r="D111" s="5" t="s">
        <v>574</v>
      </c>
      <c r="E111" s="12" t="s">
        <v>53</v>
      </c>
      <c r="F111" s="17" t="s">
        <v>37</v>
      </c>
      <c r="G111" s="17" t="s">
        <v>37</v>
      </c>
      <c r="H111" s="17" t="s">
        <v>37</v>
      </c>
      <c r="I111" s="17" t="s">
        <v>37</v>
      </c>
      <c r="J111" s="17" t="s">
        <v>37</v>
      </c>
      <c r="K111" s="17" t="s">
        <v>37</v>
      </c>
      <c r="L111" s="146" t="s">
        <v>381</v>
      </c>
      <c r="M111" s="146" t="s">
        <v>381</v>
      </c>
      <c r="N111" s="146" t="s">
        <v>381</v>
      </c>
      <c r="O111" s="146" t="s">
        <v>381</v>
      </c>
      <c r="P111" s="146" t="s">
        <v>381</v>
      </c>
      <c r="Q111" s="146" t="s">
        <v>381</v>
      </c>
      <c r="R111" s="30" t="str">
        <f t="shared" si="9"/>
        <v/>
      </c>
      <c r="S111" s="30" t="str">
        <f t="shared" si="10"/>
        <v/>
      </c>
      <c r="T111" s="30" t="str">
        <f t="shared" si="11"/>
        <v/>
      </c>
      <c r="U111" s="30" t="str">
        <f t="shared" si="12"/>
        <v/>
      </c>
      <c r="V111" s="30" t="str">
        <f t="shared" si="13"/>
        <v/>
      </c>
      <c r="W111" s="30" t="str">
        <f t="shared" si="14"/>
        <v/>
      </c>
      <c r="X111" s="30" t="str">
        <f t="shared" si="8"/>
        <v/>
      </c>
    </row>
    <row r="112" spans="1:24" s="18" customFormat="1" x14ac:dyDescent="0.25">
      <c r="A112" s="51" t="str">
        <f>IF(ISNA(VLOOKUP(B112,Shortlist_xref!$A$5:$B$77,2,FALSE))=TRUE,"-",VLOOKUP(B112,Shortlist_xref!$A$5:$B$77,2,FALSE))</f>
        <v>-</v>
      </c>
      <c r="B112" s="3" t="s">
        <v>575</v>
      </c>
      <c r="C112" s="5" t="s">
        <v>573</v>
      </c>
      <c r="D112" s="5" t="s">
        <v>576</v>
      </c>
      <c r="E112" s="12" t="s">
        <v>53</v>
      </c>
      <c r="F112" s="17" t="s">
        <v>37</v>
      </c>
      <c r="G112" s="17" t="s">
        <v>37</v>
      </c>
      <c r="H112" s="17" t="s">
        <v>37</v>
      </c>
      <c r="I112" s="17" t="s">
        <v>37</v>
      </c>
      <c r="J112" s="17" t="s">
        <v>37</v>
      </c>
      <c r="K112" s="17" t="s">
        <v>37</v>
      </c>
      <c r="L112" s="146" t="s">
        <v>381</v>
      </c>
      <c r="M112" s="146" t="s">
        <v>381</v>
      </c>
      <c r="N112" s="146" t="s">
        <v>381</v>
      </c>
      <c r="O112" s="146" t="s">
        <v>381</v>
      </c>
      <c r="P112" s="146" t="s">
        <v>381</v>
      </c>
      <c r="Q112" s="146" t="s">
        <v>381</v>
      </c>
      <c r="R112" s="30" t="str">
        <f t="shared" si="9"/>
        <v/>
      </c>
      <c r="S112" s="30" t="str">
        <f t="shared" si="10"/>
        <v/>
      </c>
      <c r="T112" s="30" t="str">
        <f t="shared" si="11"/>
        <v/>
      </c>
      <c r="U112" s="30" t="str">
        <f t="shared" si="12"/>
        <v/>
      </c>
      <c r="V112" s="30" t="str">
        <f t="shared" si="13"/>
        <v/>
      </c>
      <c r="W112" s="30" t="str">
        <f t="shared" si="14"/>
        <v/>
      </c>
      <c r="X112" s="30" t="str">
        <f t="shared" si="8"/>
        <v/>
      </c>
    </row>
    <row r="113" spans="1:24" s="18" customFormat="1" ht="24.2" x14ac:dyDescent="0.25">
      <c r="A113" s="51" t="str">
        <f>IF(ISNA(VLOOKUP(B113,Shortlist_xref!$A$5:$B$77,2,FALSE))=TRUE,"-",VLOOKUP(B113,Shortlist_xref!$A$5:$B$77,2,FALSE))</f>
        <v>-</v>
      </c>
      <c r="B113" s="3" t="s">
        <v>577</v>
      </c>
      <c r="C113" s="5" t="s">
        <v>573</v>
      </c>
      <c r="D113" s="5" t="s">
        <v>578</v>
      </c>
      <c r="E113" s="12" t="s">
        <v>53</v>
      </c>
      <c r="F113" s="17" t="s">
        <v>37</v>
      </c>
      <c r="G113" s="17" t="s">
        <v>37</v>
      </c>
      <c r="H113" s="17" t="s">
        <v>37</v>
      </c>
      <c r="I113" s="17" t="s">
        <v>37</v>
      </c>
      <c r="J113" s="17" t="s">
        <v>37</v>
      </c>
      <c r="K113" s="17" t="s">
        <v>37</v>
      </c>
      <c r="L113" s="146" t="s">
        <v>381</v>
      </c>
      <c r="M113" s="146" t="s">
        <v>381</v>
      </c>
      <c r="N113" s="146" t="s">
        <v>381</v>
      </c>
      <c r="O113" s="146" t="s">
        <v>381</v>
      </c>
      <c r="P113" s="146" t="s">
        <v>381</v>
      </c>
      <c r="Q113" s="146" t="s">
        <v>381</v>
      </c>
      <c r="R113" s="30" t="str">
        <f t="shared" si="9"/>
        <v/>
      </c>
      <c r="S113" s="30" t="str">
        <f t="shared" si="10"/>
        <v/>
      </c>
      <c r="T113" s="30" t="str">
        <f t="shared" si="11"/>
        <v/>
      </c>
      <c r="U113" s="30" t="str">
        <f t="shared" si="12"/>
        <v/>
      </c>
      <c r="V113" s="30" t="str">
        <f t="shared" si="13"/>
        <v/>
      </c>
      <c r="W113" s="30" t="str">
        <f t="shared" si="14"/>
        <v/>
      </c>
      <c r="X113" s="30" t="str">
        <f t="shared" si="8"/>
        <v/>
      </c>
    </row>
    <row r="114" spans="1:24" s="18" customFormat="1" ht="36.299999999999997" x14ac:dyDescent="0.25">
      <c r="A114" s="51" t="str">
        <f>IF(ISNA(VLOOKUP(B114,Shortlist_xref!$A$5:$B$77,2,FALSE))=TRUE,"-",VLOOKUP(B114,Shortlist_xref!$A$5:$B$77,2,FALSE))</f>
        <v>-</v>
      </c>
      <c r="B114" s="3" t="s">
        <v>579</v>
      </c>
      <c r="C114" s="5" t="s">
        <v>573</v>
      </c>
      <c r="D114" s="5" t="s">
        <v>357</v>
      </c>
      <c r="E114" s="12" t="s">
        <v>53</v>
      </c>
      <c r="F114" s="17" t="s">
        <v>37</v>
      </c>
      <c r="G114" s="17" t="s">
        <v>37</v>
      </c>
      <c r="H114" s="17" t="s">
        <v>37</v>
      </c>
      <c r="I114" s="17" t="s">
        <v>37</v>
      </c>
      <c r="J114" s="17" t="s">
        <v>37</v>
      </c>
      <c r="K114" s="17" t="s">
        <v>37</v>
      </c>
      <c r="L114" s="146" t="s">
        <v>381</v>
      </c>
      <c r="M114" s="146" t="s">
        <v>381</v>
      </c>
      <c r="N114" s="146" t="s">
        <v>381</v>
      </c>
      <c r="O114" s="146" t="s">
        <v>381</v>
      </c>
      <c r="P114" s="146" t="s">
        <v>381</v>
      </c>
      <c r="Q114" s="146" t="s">
        <v>381</v>
      </c>
      <c r="R114" s="30" t="str">
        <f t="shared" si="9"/>
        <v/>
      </c>
      <c r="S114" s="30" t="str">
        <f t="shared" si="10"/>
        <v/>
      </c>
      <c r="T114" s="30" t="str">
        <f t="shared" si="11"/>
        <v/>
      </c>
      <c r="U114" s="30" t="str">
        <f t="shared" si="12"/>
        <v/>
      </c>
      <c r="V114" s="30" t="str">
        <f t="shared" si="13"/>
        <v/>
      </c>
      <c r="W114" s="30" t="str">
        <f t="shared" si="14"/>
        <v/>
      </c>
      <c r="X114" s="30" t="str">
        <f t="shared" si="8"/>
        <v/>
      </c>
    </row>
    <row r="115" spans="1:24" s="18" customFormat="1" ht="24.2" x14ac:dyDescent="0.25">
      <c r="A115" s="51" t="str">
        <f>IF(ISNA(VLOOKUP(B115,Shortlist_xref!$A$5:$B$77,2,FALSE))=TRUE,"-",VLOOKUP(B115,Shortlist_xref!$A$5:$B$77,2,FALSE))</f>
        <v>-</v>
      </c>
      <c r="B115" s="3" t="s">
        <v>581</v>
      </c>
      <c r="C115" s="5" t="s">
        <v>582</v>
      </c>
      <c r="D115" s="5" t="s">
        <v>583</v>
      </c>
      <c r="E115" s="12" t="s">
        <v>12</v>
      </c>
      <c r="F115" s="17" t="s">
        <v>37</v>
      </c>
      <c r="G115" s="17" t="s">
        <v>37</v>
      </c>
      <c r="H115" s="17" t="s">
        <v>37</v>
      </c>
      <c r="I115" s="17" t="s">
        <v>37</v>
      </c>
      <c r="J115" s="17" t="s">
        <v>37</v>
      </c>
      <c r="K115" s="17" t="s">
        <v>37</v>
      </c>
      <c r="L115" s="184">
        <v>0</v>
      </c>
      <c r="M115" s="184">
        <v>0</v>
      </c>
      <c r="N115" s="184">
        <v>0</v>
      </c>
      <c r="O115" s="184">
        <v>0</v>
      </c>
      <c r="P115" s="184">
        <v>0</v>
      </c>
      <c r="Q115" s="184">
        <v>0</v>
      </c>
      <c r="R115" s="30" t="str">
        <f t="shared" si="9"/>
        <v>IL</v>
      </c>
      <c r="S115" s="30" t="str">
        <f t="shared" si="10"/>
        <v>IN</v>
      </c>
      <c r="T115" s="30" t="str">
        <f t="shared" si="11"/>
        <v>MI</v>
      </c>
      <c r="U115" s="30" t="str">
        <f t="shared" si="12"/>
        <v>MN</v>
      </c>
      <c r="V115" s="30" t="str">
        <f t="shared" si="13"/>
        <v>OH</v>
      </c>
      <c r="W115" s="30" t="str">
        <f t="shared" si="14"/>
        <v>WI</v>
      </c>
      <c r="X115" s="30" t="str">
        <f t="shared" si="8"/>
        <v>ILINMIMNOHWI</v>
      </c>
    </row>
    <row r="116" spans="1:24" s="18" customFormat="1" x14ac:dyDescent="0.3">
      <c r="A116"/>
      <c r="B116"/>
      <c r="C116"/>
      <c r="D116"/>
      <c r="E116"/>
      <c r="F116"/>
      <c r="G116"/>
      <c r="H116"/>
      <c r="I116"/>
      <c r="J116"/>
      <c r="K116"/>
      <c r="L116"/>
      <c r="M116"/>
      <c r="N116"/>
      <c r="O116"/>
      <c r="P116"/>
      <c r="Q116"/>
      <c r="R116" s="30"/>
      <c r="S116" s="30"/>
      <c r="T116" s="30"/>
      <c r="U116" s="30"/>
      <c r="V116" s="30"/>
      <c r="W116" s="30"/>
      <c r="X116" s="30"/>
    </row>
    <row r="117" spans="1:24" x14ac:dyDescent="0.3">
      <c r="B117" s="19" t="s">
        <v>73</v>
      </c>
      <c r="L117" s="106"/>
      <c r="M117" s="106"/>
      <c r="N117" s="106"/>
      <c r="O117" s="106"/>
      <c r="P117" s="106"/>
      <c r="Q117" s="106"/>
    </row>
    <row r="118" spans="1:24" x14ac:dyDescent="0.3">
      <c r="B118" s="106"/>
      <c r="C118" t="s">
        <v>74</v>
      </c>
      <c r="L118" s="106"/>
      <c r="M118" s="106"/>
      <c r="N118" s="106"/>
      <c r="O118" s="106"/>
      <c r="P118" s="106"/>
      <c r="Q118" s="106"/>
    </row>
    <row r="119" spans="1:24" x14ac:dyDescent="0.3">
      <c r="B119" s="106"/>
      <c r="C119" t="s">
        <v>282</v>
      </c>
      <c r="L119" s="106"/>
      <c r="M119" s="106"/>
      <c r="N119" s="106"/>
      <c r="O119" s="106"/>
      <c r="P119" s="106"/>
      <c r="Q119" s="106"/>
    </row>
    <row r="120" spans="1:24" x14ac:dyDescent="0.3">
      <c r="B120" s="106"/>
      <c r="L120" s="106"/>
      <c r="M120" s="106"/>
      <c r="N120" s="106"/>
      <c r="O120" s="106"/>
      <c r="P120" s="106"/>
      <c r="Q120" s="106"/>
    </row>
    <row r="121" spans="1:24" x14ac:dyDescent="0.3">
      <c r="B121" s="19"/>
      <c r="L121" s="106"/>
      <c r="M121" s="106"/>
      <c r="N121" s="106"/>
      <c r="O121" s="106"/>
      <c r="P121" s="106"/>
      <c r="Q121" s="106"/>
    </row>
    <row r="122" spans="1:24" x14ac:dyDescent="0.3">
      <c r="B122" s="20"/>
      <c r="L122" s="106"/>
      <c r="M122" s="106"/>
      <c r="N122" s="106"/>
      <c r="O122" s="106"/>
      <c r="P122" s="106"/>
      <c r="Q122" s="106"/>
    </row>
    <row r="123" spans="1:24" x14ac:dyDescent="0.3">
      <c r="B123" s="20"/>
      <c r="L123" s="106"/>
      <c r="M123" s="106"/>
      <c r="N123" s="106"/>
      <c r="O123" s="106"/>
      <c r="P123" s="106"/>
      <c r="Q123" s="106"/>
    </row>
    <row r="124" spans="1:24" x14ac:dyDescent="0.3">
      <c r="B124" s="20"/>
      <c r="L124" s="106"/>
      <c r="M124" s="106"/>
      <c r="N124" s="106"/>
      <c r="O124" s="106"/>
      <c r="P124" s="106"/>
      <c r="Q124" s="106"/>
    </row>
    <row r="125" spans="1:24" x14ac:dyDescent="0.3">
      <c r="B125" s="20"/>
      <c r="L125" s="106"/>
      <c r="M125" s="106"/>
      <c r="N125" s="106"/>
      <c r="O125" s="106"/>
      <c r="P125" s="106"/>
      <c r="Q125" s="106"/>
    </row>
    <row r="126" spans="1:24" x14ac:dyDescent="0.3">
      <c r="B126" s="20"/>
      <c r="L126" s="106"/>
      <c r="M126" s="106"/>
      <c r="N126" s="106"/>
      <c r="O126" s="106"/>
      <c r="P126" s="106"/>
      <c r="Q126" s="106"/>
    </row>
    <row r="127" spans="1:24" x14ac:dyDescent="0.3">
      <c r="B127" s="20"/>
      <c r="L127" s="106"/>
      <c r="M127" s="106"/>
      <c r="N127" s="106"/>
      <c r="O127" s="106"/>
      <c r="P127" s="106"/>
      <c r="Q127" s="106"/>
    </row>
    <row r="128" spans="1:24" x14ac:dyDescent="0.3">
      <c r="B128" s="20"/>
      <c r="L128" s="106"/>
      <c r="M128" s="106"/>
      <c r="N128" s="106"/>
      <c r="O128" s="106"/>
      <c r="P128" s="106"/>
      <c r="Q128" s="106"/>
    </row>
    <row r="129" spans="2:17" x14ac:dyDescent="0.3">
      <c r="B129" s="20"/>
      <c r="L129" s="106"/>
      <c r="M129" s="106"/>
      <c r="N129" s="106"/>
      <c r="O129" s="106"/>
      <c r="P129" s="106"/>
      <c r="Q129" s="106"/>
    </row>
    <row r="130" spans="2:17" x14ac:dyDescent="0.3">
      <c r="B130" s="20"/>
      <c r="L130" s="106"/>
      <c r="M130" s="106"/>
      <c r="N130" s="106"/>
      <c r="O130" s="106"/>
      <c r="P130" s="106"/>
      <c r="Q130" s="106"/>
    </row>
    <row r="131" spans="2:17" x14ac:dyDescent="0.3">
      <c r="B131" s="20"/>
      <c r="L131" s="106"/>
      <c r="M131" s="106"/>
      <c r="N131" s="106"/>
      <c r="O131" s="106"/>
      <c r="P131" s="106"/>
      <c r="Q131" s="106"/>
    </row>
    <row r="132" spans="2:17" x14ac:dyDescent="0.3">
      <c r="B132" s="20"/>
      <c r="L132" s="106"/>
      <c r="M132" s="106"/>
      <c r="N132" s="106"/>
      <c r="O132" s="106"/>
      <c r="P132" s="106"/>
      <c r="Q132" s="106"/>
    </row>
    <row r="133" spans="2:17" x14ac:dyDescent="0.3">
      <c r="B133" s="20"/>
      <c r="L133" s="106"/>
      <c r="M133" s="106"/>
      <c r="N133" s="106"/>
      <c r="O133" s="106"/>
      <c r="P133" s="106"/>
      <c r="Q133" s="106"/>
    </row>
    <row r="134" spans="2:17" x14ac:dyDescent="0.3">
      <c r="B134" s="20"/>
      <c r="L134" s="106"/>
      <c r="M134" s="106"/>
      <c r="N134" s="106"/>
      <c r="O134" s="106"/>
      <c r="P134" s="106"/>
      <c r="Q134" s="106"/>
    </row>
    <row r="135" spans="2:17" x14ac:dyDescent="0.3">
      <c r="L135" s="106"/>
      <c r="M135" s="106"/>
      <c r="N135" s="106"/>
      <c r="O135" s="106"/>
      <c r="P135" s="106"/>
      <c r="Q135" s="106"/>
    </row>
  </sheetData>
  <autoFilter ref="A2:X2" xr:uid="{45CA2909-E670-409A-9634-82C17D79E5C6}"/>
  <mergeCells count="7">
    <mergeCell ref="L1:Q1"/>
    <mergeCell ref="A1:A2"/>
    <mergeCell ref="B1:B2"/>
    <mergeCell ref="C1:C2"/>
    <mergeCell ref="D1:D2"/>
    <mergeCell ref="E1:E2"/>
    <mergeCell ref="F1:K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064947-90A0-421F-82CB-938867D3CAB5}">
  <sheetPr>
    <tabColor theme="1"/>
  </sheetPr>
  <dimension ref="A1:W87"/>
  <sheetViews>
    <sheetView zoomScale="85" zoomScaleNormal="85" workbookViewId="0">
      <pane ySplit="7" topLeftCell="A76" activePane="bottomLeft" state="frozen"/>
      <selection pane="bottomLeft" sqref="A1:XFD1048576"/>
    </sheetView>
  </sheetViews>
  <sheetFormatPr defaultColWidth="8.796875" defaultRowHeight="14.4" x14ac:dyDescent="0.3"/>
  <cols>
    <col min="1" max="2" width="8.796875" style="52"/>
    <col min="3" max="3" width="9.796875" style="52" customWidth="1"/>
    <col min="4" max="4" width="13.69921875" style="52" customWidth="1"/>
    <col min="5" max="5" width="32.296875" style="52" customWidth="1"/>
    <col min="6" max="6" width="44" style="52" customWidth="1"/>
    <col min="7" max="7" width="15.19921875" style="91" customWidth="1"/>
    <col min="8" max="8" width="15.19921875" style="52" customWidth="1"/>
    <col min="9" max="9" width="17.09765625" style="52" customWidth="1"/>
    <col min="10" max="10" width="15.69921875" style="52" customWidth="1"/>
    <col min="11" max="11" width="15.09765625" style="155" customWidth="1"/>
    <col min="12" max="12" width="18.09765625" style="52" customWidth="1"/>
    <col min="13" max="14" width="13.3984375" style="52" customWidth="1"/>
    <col min="15" max="15" width="16.09765625" style="52" customWidth="1"/>
    <col min="16" max="18" width="13.3984375" style="52" customWidth="1"/>
    <col min="19" max="19" width="11.8984375" style="52" customWidth="1"/>
    <col min="20" max="21" width="0" style="52" hidden="1" customWidth="1"/>
    <col min="22" max="22" width="11" style="185" customWidth="1"/>
    <col min="23" max="16384" width="8.796875" style="52"/>
  </cols>
  <sheetData>
    <row r="1" spans="1:23" x14ac:dyDescent="0.3">
      <c r="A1" s="93" t="s">
        <v>354</v>
      </c>
      <c r="E1" s="52" t="s">
        <v>293</v>
      </c>
      <c r="M1" s="94" t="s">
        <v>245</v>
      </c>
      <c r="N1" s="95" t="s">
        <v>256</v>
      </c>
      <c r="O1" s="94"/>
      <c r="P1" s="94"/>
      <c r="Q1" s="94"/>
      <c r="R1" s="94"/>
    </row>
    <row r="2" spans="1:23" x14ac:dyDescent="0.3">
      <c r="A2" s="88" t="s">
        <v>242</v>
      </c>
      <c r="E2" s="52" t="s">
        <v>286</v>
      </c>
      <c r="H2" s="98"/>
      <c r="I2" s="98"/>
      <c r="M2" s="94" t="s">
        <v>246</v>
      </c>
      <c r="N2" s="95" t="s">
        <v>255</v>
      </c>
      <c r="O2" s="94"/>
      <c r="P2" s="94"/>
      <c r="Q2" s="94"/>
      <c r="R2" s="94"/>
    </row>
    <row r="3" spans="1:23" x14ac:dyDescent="0.3">
      <c r="A3" s="165" t="s">
        <v>337</v>
      </c>
      <c r="B3" s="165"/>
      <c r="C3" s="165"/>
      <c r="D3" s="165"/>
      <c r="E3" s="52" t="s">
        <v>287</v>
      </c>
      <c r="H3" s="99"/>
      <c r="I3" s="101"/>
      <c r="J3" s="100"/>
      <c r="M3" s="94" t="s">
        <v>247</v>
      </c>
      <c r="N3" s="95" t="s">
        <v>254</v>
      </c>
      <c r="O3" s="94"/>
      <c r="P3" s="94"/>
      <c r="Q3" s="94"/>
      <c r="R3" s="94"/>
    </row>
    <row r="4" spans="1:23" x14ac:dyDescent="0.3">
      <c r="A4" s="211" t="s">
        <v>338</v>
      </c>
      <c r="B4" s="211"/>
      <c r="C4" s="211"/>
      <c r="D4" s="211"/>
      <c r="E4" s="52" t="s">
        <v>290</v>
      </c>
      <c r="M4" s="94" t="s">
        <v>248</v>
      </c>
      <c r="N4" s="95" t="s">
        <v>257</v>
      </c>
      <c r="O4" s="94"/>
      <c r="P4" s="94"/>
      <c r="Q4" s="94"/>
      <c r="R4" s="94"/>
    </row>
    <row r="5" spans="1:23" ht="27.5" customHeight="1" x14ac:dyDescent="0.3">
      <c r="A5" s="211"/>
      <c r="B5" s="211"/>
      <c r="C5" s="211"/>
      <c r="D5" s="211"/>
      <c r="E5" s="52" t="s">
        <v>288</v>
      </c>
      <c r="M5" s="210" t="s">
        <v>276</v>
      </c>
      <c r="N5" s="210"/>
      <c r="O5" s="210"/>
      <c r="P5" s="210"/>
      <c r="Q5" s="210"/>
      <c r="R5" s="210"/>
    </row>
    <row r="6" spans="1:23" x14ac:dyDescent="0.3">
      <c r="M6" s="203" t="s">
        <v>260</v>
      </c>
      <c r="N6" s="203"/>
      <c r="O6" s="203"/>
      <c r="P6" s="203"/>
      <c r="Q6" s="203"/>
      <c r="R6" s="203"/>
    </row>
    <row r="7" spans="1:23" ht="47.95" x14ac:dyDescent="0.3">
      <c r="A7" s="144" t="s">
        <v>243</v>
      </c>
      <c r="B7" s="144" t="s">
        <v>244</v>
      </c>
      <c r="C7" s="144" t="s">
        <v>238</v>
      </c>
      <c r="D7" s="144" t="s">
        <v>0</v>
      </c>
      <c r="E7" s="89" t="s">
        <v>1</v>
      </c>
      <c r="F7" s="89" t="s">
        <v>2</v>
      </c>
      <c r="G7" s="144" t="s">
        <v>3</v>
      </c>
      <c r="H7" s="144" t="s">
        <v>143</v>
      </c>
      <c r="I7" s="90" t="s">
        <v>297</v>
      </c>
      <c r="J7" s="144" t="s">
        <v>296</v>
      </c>
      <c r="K7" s="156" t="s">
        <v>76</v>
      </c>
      <c r="L7" s="144" t="s">
        <v>292</v>
      </c>
      <c r="M7" s="144" t="s">
        <v>245</v>
      </c>
      <c r="N7" s="144" t="s">
        <v>246</v>
      </c>
      <c r="O7" s="144" t="s">
        <v>247</v>
      </c>
      <c r="P7" s="144" t="s">
        <v>248</v>
      </c>
      <c r="Q7" s="144" t="s">
        <v>249</v>
      </c>
      <c r="R7" s="144" t="s">
        <v>252</v>
      </c>
      <c r="S7" s="52" t="s">
        <v>301</v>
      </c>
      <c r="T7" s="52" t="str">
        <f>C7&amp;F7</f>
        <v>ShortlistEmission Reduction Measure Name</v>
      </c>
      <c r="U7" s="52" t="str">
        <f>B7</f>
        <v>Emission Reduction Rank</v>
      </c>
      <c r="V7" s="185" t="s">
        <v>349</v>
      </c>
    </row>
    <row r="8" spans="1:23" s="152" customFormat="1" ht="24.2" x14ac:dyDescent="0.3">
      <c r="A8" s="153">
        <f>VLOOKUP(D8,'C-E_Shortlist'!$D$8:$Z$114,23,FALSE)</f>
        <v>40</v>
      </c>
      <c r="B8" s="153">
        <v>1</v>
      </c>
      <c r="C8" s="153" t="str">
        <f>VLOOKUP(D8,Shortlist_xref!$A$5:$C$77,2,FALSE)</f>
        <v>EmissRed</v>
      </c>
      <c r="D8" s="153" t="s">
        <v>102</v>
      </c>
      <c r="E8" s="138" t="s">
        <v>103</v>
      </c>
      <c r="F8" s="138" t="s">
        <v>104</v>
      </c>
      <c r="G8" s="153" t="s">
        <v>53</v>
      </c>
      <c r="H8" s="157">
        <f>IF($V8="mobile",SUMIFS(Mobile_options!F:F,Mobile_options!$B:$B,$D8,Mobile_options!$E:$E,$G8),IF($V8="nonpoint",SUMIFS(Nonpoint_options!F:F,Nonpoint_options!$B:$B,$D8,Nonpoint_options!$E:$E,$G8),SUMIFS(Point_options!F:F,Point_options!$B:$B,$D8,Point_options!$E:$E,$G8)))</f>
        <v>0.1</v>
      </c>
      <c r="I8" s="154">
        <f>IF($V8="mobile",SUMIFS(Mobile_options!G:G,Mobile_options!$B:$B,$D8,Mobile_options!$E:$E,$G8),IF($V8="nonpoint",SUMIFS(Nonpoint_options!G:G,Nonpoint_options!$B:$B,$D8,Nonpoint_options!$E:$E,$G8),SUMIFS(Point_options!G:G,Point_options!$B:$B,$D8,Point_options!$E:$E,$G8)))</f>
        <v>0.5</v>
      </c>
      <c r="J8" s="158">
        <f>IF(V8="mobile",VLOOKUP($D8&amp;$G8,Mobile_options!$X$1:$Y$150,2,FALSE),IF(EmissRed_Shortlist!V8="nonpoint",VLOOKUP($D8&amp;$G8,Nonpoint_options!$W$1:$X$150,2,FALSE),VLOOKUP($D8&amp;$G8,Point_options!$U$1:$V$150,2,FALSE)))</f>
        <v>3498</v>
      </c>
      <c r="K8" s="159">
        <f>IF($V8="mobile",SUMIFS(Mobile_options!I:I,Mobile_options!$B:$B,$D8,Mobile_options!$E:$E,$G8),IF($V8="nonpoint",SUMIFS(Nonpoint_options!I:I,Nonpoint_options!$B:$B,$D8,Nonpoint_options!$E:$E,$G8),SUMIFS(Point_options!I:I,Point_options!$B:$B,$D8,Point_options!$E:$E,$G8)))</f>
        <v>0.16138265066447427</v>
      </c>
      <c r="L8" s="168">
        <f>IF($V8="mobile",SUMIFS(Mobile_options!J:J,Mobile_options!$B:$B,$D8,Mobile_options!$E:$E,$G8),IF($V8="nonpoint",SUMIFS(Nonpoint_options!J:J,Nonpoint_options!$B:$B,$D8,Nonpoint_options!$E:$E,$G8),SUMIFS(Point_options!J:J,Point_options!$B:$B,$D8,Point_options!$E:$E,$G8)))</f>
        <v>12173.097943415489</v>
      </c>
      <c r="M8" s="153" t="s">
        <v>250</v>
      </c>
      <c r="N8" s="153" t="s">
        <v>250</v>
      </c>
      <c r="O8" s="153" t="s">
        <v>264</v>
      </c>
      <c r="P8" s="153" t="s">
        <v>250</v>
      </c>
      <c r="Q8" s="153" t="s">
        <v>253</v>
      </c>
      <c r="R8" s="153" t="s">
        <v>253</v>
      </c>
      <c r="V8" s="186" t="s">
        <v>350</v>
      </c>
      <c r="W8" s="200">
        <f>B8</f>
        <v>1</v>
      </c>
    </row>
    <row r="9" spans="1:23" s="152" customFormat="1" x14ac:dyDescent="0.3">
      <c r="A9" s="153">
        <f>VLOOKUP(D9,'C-E_Shortlist'!$D$8:$Z$114,23,FALSE)</f>
        <v>38</v>
      </c>
      <c r="B9" s="153">
        <v>2</v>
      </c>
      <c r="C9" s="153" t="str">
        <f>VLOOKUP(D9,Shortlist_xref!$A$5:$C$77,2,FALSE)</f>
        <v>EmissRed</v>
      </c>
      <c r="D9" s="153" t="s">
        <v>152</v>
      </c>
      <c r="E9" s="138" t="s">
        <v>153</v>
      </c>
      <c r="F9" s="138" t="s">
        <v>154</v>
      </c>
      <c r="G9" s="153" t="s">
        <v>12</v>
      </c>
      <c r="H9" s="157">
        <f>IF($V9="mobile",SUMIFS(Mobile_options!F:F,Mobile_options!$B:$B,$D9,Mobile_options!$E:$E,$G9),IF($V9="nonpoint",SUMIFS(Nonpoint_options!F:F,Nonpoint_options!$B:$B,$D9,Nonpoint_options!$E:$E,$G9),SUMIFS(Point_options!F:F,Point_options!$B:$B,$D9,Point_options!$E:$E,$G9)))</f>
        <v>0.5</v>
      </c>
      <c r="I9" s="154">
        <f>IF($V9="mobile",SUMIFS(Mobile_options!G:G,Mobile_options!$B:$B,$D9,Mobile_options!$E:$E,$G9),IF($V9="nonpoint",SUMIFS(Nonpoint_options!G:G,Nonpoint_options!$B:$B,$D9,Nonpoint_options!$E:$E,$G9),SUMIFS(Point_options!G:G,Point_options!$B:$B,$D9,Point_options!$E:$E,$G9)))</f>
        <v>0.25</v>
      </c>
      <c r="J9" s="158" t="str">
        <f>IF(V9="mobile",VLOOKUP($D9&amp;$G9,Mobile_options!$X$1:$Y$150,2,FALSE),IF(EmissRed_Shortlist!V9="nonpoint",VLOOKUP($D9&amp;$G9,Nonpoint_options!$W$1:$X$150,2,FALSE),VLOOKUP($D9&amp;$G9,Point_options!$U$1:$V$150,2,FALSE)))</f>
        <v>$3,822/ ton NOx</v>
      </c>
      <c r="K9" s="159">
        <f>IF($V9="mobile",SUMIFS(Mobile_options!I:I,Mobile_options!$B:$B,$D9,Mobile_options!$E:$E,$G9),IF($V9="nonpoint",SUMIFS(Nonpoint_options!I:I,Nonpoint_options!$B:$B,$D9,Nonpoint_options!$E:$E,$G9),SUMIFS(Point_options!I:I,Point_options!$B:$B,$D9,Point_options!$E:$E,$G9)))</f>
        <v>7.6929467630081974E-2</v>
      </c>
      <c r="L9" s="168">
        <f>IF($V9="mobile",SUMIFS(Mobile_options!J:J,Mobile_options!$B:$B,$D9,Mobile_options!$E:$E,$G9),IF($V9="nonpoint",SUMIFS(Nonpoint_options!J:J,Nonpoint_options!$B:$B,$D9,Nonpoint_options!$E:$E,$G9),SUMIFS(Point_options!J:J,Point_options!$B:$B,$D9,Point_options!$E:$E,$G9)))</f>
        <v>10311.094936078483</v>
      </c>
      <c r="M9" s="153" t="s">
        <v>250</v>
      </c>
      <c r="N9" s="153" t="s">
        <v>250</v>
      </c>
      <c r="O9" s="153" t="s">
        <v>250</v>
      </c>
      <c r="P9" s="153" t="s">
        <v>250</v>
      </c>
      <c r="Q9" s="153" t="s">
        <v>251</v>
      </c>
      <c r="R9" s="153" t="s">
        <v>253</v>
      </c>
      <c r="V9" s="186" t="s">
        <v>352</v>
      </c>
      <c r="W9" s="200">
        <f t="shared" ref="W9:W73" si="0">B9</f>
        <v>2</v>
      </c>
    </row>
    <row r="10" spans="1:23" s="152" customFormat="1" x14ac:dyDescent="0.3">
      <c r="A10" s="160">
        <f>VLOOKUP(D10,'C-E_Shortlist'!$D$8:$Z$114,23,FALSE)</f>
        <v>75</v>
      </c>
      <c r="B10" s="160">
        <v>3</v>
      </c>
      <c r="C10" s="160" t="str">
        <f>VLOOKUP(D10,Shortlist_xref!$A$5:$C$77,2,FALSE)</f>
        <v>EmissRed</v>
      </c>
      <c r="D10" s="160" t="s">
        <v>308</v>
      </c>
      <c r="E10" s="114" t="s">
        <v>326</v>
      </c>
      <c r="F10" s="114" t="s">
        <v>327</v>
      </c>
      <c r="G10" s="160" t="s">
        <v>53</v>
      </c>
      <c r="H10" s="161">
        <f>IF($V10="mobile",SUMIFS(Mobile_options!F:F,Mobile_options!$B:$B,$D10,Mobile_options!$E:$E,$G10),IF($V10="nonpoint",SUMIFS(Nonpoint_options!F:F,Nonpoint_options!$B:$B,$D10,Nonpoint_options!$E:$E,$G10),SUMIFS(Point_options!F:F,Point_options!$B:$B,$D10,Point_options!$E:$E,$G10)))</f>
        <v>0.1</v>
      </c>
      <c r="I10" s="162">
        <f>IF($V10="mobile",SUMIFS(Mobile_options!G:G,Mobile_options!$B:$B,$D10,Mobile_options!$E:$E,$G10),IF($V10="nonpoint",SUMIFS(Nonpoint_options!G:G,Nonpoint_options!$B:$B,$D10,Nonpoint_options!$E:$E,$G10),SUMIFS(Point_options!G:G,Point_options!$B:$B,$D10,Point_options!$E:$E,$G10)))</f>
        <v>0.59499999999999997</v>
      </c>
      <c r="J10" s="163" t="str">
        <f>IF(V10="mobile",VLOOKUP($D10&amp;$G10,Mobile_options!$X$1:$Y$150,2,FALSE),IF(EmissRed_Shortlist!V10="nonpoint",VLOOKUP($D10&amp;$G10,Nonpoint_options!$W$1:$X$150,2,FALSE),VLOOKUP($D10&amp;$G10,Point_options!$U$1:$V$150,2,FALSE)))</f>
        <v>NA</v>
      </c>
      <c r="K10" s="164">
        <f>IF($V10="mobile",SUMIFS(Mobile_options!I:I,Mobile_options!$B:$B,$D10,Mobile_options!$E:$E,$G10),IF($V10="nonpoint",SUMIFS(Nonpoint_options!I:I,Nonpoint_options!$B:$B,$D10,Nonpoint_options!$E:$E,$G10),SUMIFS(Point_options!I:I,Point_options!$B:$B,$D10,Point_options!$E:$E,$G10)))</f>
        <v>9.6640925667188279E-2</v>
      </c>
      <c r="L10" s="169">
        <f>IF($V10="mobile",SUMIFS(Mobile_options!J:J,Mobile_options!$B:$B,$D10,Mobile_options!$E:$E,$G10),IF($V10="nonpoint",SUMIFS(Nonpoint_options!J:J,Nonpoint_options!$B:$B,$D10,Nonpoint_options!$E:$E,$G10),SUMIFS(Point_options!J:J,Point_options!$B:$B,$D10,Point_options!$E:$E,$G10)))</f>
        <v>8674.6570581648393</v>
      </c>
      <c r="M10" s="160" t="s">
        <v>250</v>
      </c>
      <c r="N10" s="160" t="s">
        <v>250</v>
      </c>
      <c r="O10" s="160" t="s">
        <v>263</v>
      </c>
      <c r="P10" s="160" t="s">
        <v>250</v>
      </c>
      <c r="Q10" s="160" t="s">
        <v>251</v>
      </c>
      <c r="R10" s="160" t="s">
        <v>251</v>
      </c>
      <c r="V10" s="186" t="s">
        <v>350</v>
      </c>
      <c r="W10" s="200">
        <f t="shared" si="0"/>
        <v>3</v>
      </c>
    </row>
    <row r="11" spans="1:23" s="152" customFormat="1" ht="24.2" x14ac:dyDescent="0.3">
      <c r="A11" s="153">
        <f>VLOOKUP(D11,'C-E_Shortlist'!$D$8:$Z$114,23,FALSE)</f>
        <v>79</v>
      </c>
      <c r="B11" s="153">
        <v>4</v>
      </c>
      <c r="C11" s="153" t="str">
        <f>VLOOKUP(D11,Shortlist_xref!$A$5:$C$77,2,FALSE)</f>
        <v>EmissRed</v>
      </c>
      <c r="D11" s="153" t="s">
        <v>136</v>
      </c>
      <c r="E11" s="138" t="s">
        <v>133</v>
      </c>
      <c r="F11" s="138" t="s">
        <v>137</v>
      </c>
      <c r="G11" s="153" t="s">
        <v>12</v>
      </c>
      <c r="H11" s="157">
        <f>IF($V11="mobile",SUMIFS(Mobile_options!F:F,Mobile_options!$B:$B,$D11,Mobile_options!$E:$E,$G11),IF($V11="nonpoint",SUMIFS(Nonpoint_options!F:F,Nonpoint_options!$B:$B,$D11,Nonpoint_options!$E:$E,$G11),SUMIFS(Point_options!F:F,Point_options!$B:$B,$D11,Point_options!$E:$E,$G11)))</f>
        <v>0.1</v>
      </c>
      <c r="I11" s="154">
        <f>IF($V11="mobile",SUMIFS(Mobile_options!G:G,Mobile_options!$B:$B,$D11,Mobile_options!$E:$E,$G11),IF($V11="nonpoint",SUMIFS(Nonpoint_options!G:G,Nonpoint_options!$B:$B,$D11,Nonpoint_options!$E:$E,$G11),SUMIFS(Point_options!G:G,Point_options!$B:$B,$D11,Point_options!$E:$E,$G11)))</f>
        <v>0.60139860139860135</v>
      </c>
      <c r="J11" s="158" t="str">
        <f>IF(V11="mobile",VLOOKUP($D11&amp;$G11,Mobile_options!$X$1:$Y$150,2,FALSE),IF(EmissRed_Shortlist!V11="nonpoint",VLOOKUP($D11&amp;$G11,Nonpoint_options!$W$1:$X$150,2,FALSE),VLOOKUP($D11&amp;$G11,Point_options!$U$1:$V$150,2,FALSE)))</f>
        <v>NA</v>
      </c>
      <c r="K11" s="159">
        <f>IF($V11="mobile",SUMIFS(Mobile_options!I:I,Mobile_options!$B:$B,$D11,Mobile_options!$E:$E,$G11),IF($V11="nonpoint",SUMIFS(Nonpoint_options!I:I,Nonpoint_options!$B:$B,$D11,Nonpoint_options!$E:$E,$G11),SUMIFS(Point_options!I:I,Point_options!$B:$B,$D11,Point_options!$E:$E,$G11)))</f>
        <v>0.12684493061661681</v>
      </c>
      <c r="L11" s="168">
        <f>IF($V11="mobile",SUMIFS(Mobile_options!J:J,Mobile_options!$B:$B,$D11,Mobile_options!$E:$E,$G11),IF($V11="nonpoint",SUMIFS(Nonpoint_options!J:J,Nonpoint_options!$B:$B,$D11,Nonpoint_options!$E:$E,$G11),SUMIFS(Point_options!J:J,Point_options!$B:$B,$D11,Point_options!$E:$E,$G11)))</f>
        <v>8179.7037437641575</v>
      </c>
      <c r="M11" s="153" t="s">
        <v>250</v>
      </c>
      <c r="N11" s="153" t="s">
        <v>250</v>
      </c>
      <c r="O11" s="153" t="s">
        <v>250</v>
      </c>
      <c r="P11" s="153" t="s">
        <v>250</v>
      </c>
      <c r="Q11" s="153" t="s">
        <v>251</v>
      </c>
      <c r="R11" s="153" t="s">
        <v>251</v>
      </c>
      <c r="V11" s="186" t="s">
        <v>350</v>
      </c>
      <c r="W11" s="200">
        <f t="shared" si="0"/>
        <v>4</v>
      </c>
    </row>
    <row r="12" spans="1:23" s="152" customFormat="1" x14ac:dyDescent="0.3">
      <c r="A12" s="153">
        <f>VLOOKUP(D12,'C-E_Shortlist'!$D$8:$Z$114,23,FALSE)</f>
        <v>77</v>
      </c>
      <c r="B12" s="153">
        <v>5</v>
      </c>
      <c r="C12" s="153" t="str">
        <f>VLOOKUP(D12,Shortlist_xref!$A$5:$C$77,2,FALSE)</f>
        <v>EmissRed</v>
      </c>
      <c r="D12" s="153" t="s">
        <v>134</v>
      </c>
      <c r="E12" s="138" t="s">
        <v>133</v>
      </c>
      <c r="F12" s="138" t="s">
        <v>135</v>
      </c>
      <c r="G12" s="153" t="s">
        <v>12</v>
      </c>
      <c r="H12" s="157">
        <f>IF($V12="mobile",SUMIFS(Mobile_options!F:F,Mobile_options!$B:$B,$D12,Mobile_options!$E:$E,$G12),IF($V12="nonpoint",SUMIFS(Nonpoint_options!F:F,Nonpoint_options!$B:$B,$D12,Nonpoint_options!$E:$E,$G12),SUMIFS(Point_options!F:F,Point_options!$B:$B,$D12,Point_options!$E:$E,$G12)))</f>
        <v>0.1</v>
      </c>
      <c r="I12" s="154">
        <f>IF($V12="mobile",SUMIFS(Mobile_options!G:G,Mobile_options!$B:$B,$D12,Mobile_options!$E:$E,$G12),IF($V12="nonpoint",SUMIFS(Nonpoint_options!G:G,Nonpoint_options!$B:$B,$D12,Nonpoint_options!$E:$E,$G12),SUMIFS(Point_options!G:G,Point_options!$B:$B,$D12,Point_options!$E:$E,$G12)))</f>
        <v>0.59663865546218486</v>
      </c>
      <c r="J12" s="158" t="str">
        <f>IF(V12="mobile",VLOOKUP($D12&amp;$G12,Mobile_options!$X$1:$Y$150,2,FALSE),IF(EmissRed_Shortlist!V12="nonpoint",VLOOKUP($D12&amp;$G12,Nonpoint_options!$W$1:$X$150,2,FALSE),VLOOKUP($D12&amp;$G12,Point_options!$U$1:$V$150,2,FALSE)))</f>
        <v>NA</v>
      </c>
      <c r="K12" s="159">
        <f>IF($V12="mobile",SUMIFS(Mobile_options!I:I,Mobile_options!$B:$B,$D12,Mobile_options!$E:$E,$G12),IF($V12="nonpoint",SUMIFS(Nonpoint_options!I:I,Nonpoint_options!$B:$B,$D12,Nonpoint_options!$E:$E,$G12),SUMIFS(Point_options!I:I,Point_options!$B:$B,$D12,Point_options!$E:$E,$G12)))</f>
        <v>0.12684493061661681</v>
      </c>
      <c r="L12" s="168">
        <f>IF($V12="mobile",SUMIFS(Mobile_options!J:J,Mobile_options!$B:$B,$D12,Mobile_options!$E:$E,$G12),IF($V12="nonpoint",SUMIFS(Nonpoint_options!J:J,Nonpoint_options!$B:$B,$D12,Nonpoint_options!$E:$E,$G12),SUMIFS(Point_options!J:J,Point_options!$B:$B,$D12,Point_options!$E:$E,$G12)))</f>
        <v>8114.96307508672</v>
      </c>
      <c r="M12" s="153" t="s">
        <v>250</v>
      </c>
      <c r="N12" s="153" t="s">
        <v>250</v>
      </c>
      <c r="O12" s="153" t="s">
        <v>250</v>
      </c>
      <c r="P12" s="153" t="s">
        <v>250</v>
      </c>
      <c r="Q12" s="153" t="s">
        <v>251</v>
      </c>
      <c r="R12" s="153" t="s">
        <v>251</v>
      </c>
      <c r="V12" s="186" t="s">
        <v>350</v>
      </c>
      <c r="W12" s="200">
        <f t="shared" si="0"/>
        <v>5</v>
      </c>
    </row>
    <row r="13" spans="1:23" s="152" customFormat="1" ht="24.2" x14ac:dyDescent="0.3">
      <c r="A13" s="153">
        <f>VLOOKUP(D13,'C-E_Shortlist'!$D$8:$Z$114,23,FALSE)</f>
        <v>79</v>
      </c>
      <c r="B13" s="153">
        <v>6</v>
      </c>
      <c r="C13" s="153" t="str">
        <f>VLOOKUP(D13,Shortlist_xref!$A$5:$C$77,2,FALSE)</f>
        <v>EmissRed</v>
      </c>
      <c r="D13" s="153" t="s">
        <v>136</v>
      </c>
      <c r="E13" s="138" t="s">
        <v>133</v>
      </c>
      <c r="F13" s="138" t="s">
        <v>137</v>
      </c>
      <c r="G13" s="153" t="s">
        <v>53</v>
      </c>
      <c r="H13" s="157">
        <f>IF($V13="mobile",SUMIFS(Mobile_options!F:F,Mobile_options!$B:$B,$D13,Mobile_options!$E:$E,$G13),IF($V13="nonpoint",SUMIFS(Nonpoint_options!F:F,Nonpoint_options!$B:$B,$D13,Nonpoint_options!$E:$E,$G13),SUMIFS(Point_options!F:F,Point_options!$B:$B,$D13,Point_options!$E:$E,$G13)))</f>
        <v>0.1</v>
      </c>
      <c r="I13" s="154">
        <f>IF($V13="mobile",SUMIFS(Mobile_options!G:G,Mobile_options!$B:$B,$D13,Mobile_options!$E:$E,$G13),IF($V13="nonpoint",SUMIFS(Nonpoint_options!G:G,Nonpoint_options!$B:$B,$D13,Nonpoint_options!$E:$E,$G13),SUMIFS(Point_options!G:G,Point_options!$B:$B,$D13,Point_options!$E:$E,$G13)))</f>
        <v>0.59701492537313428</v>
      </c>
      <c r="J13" s="158" t="str">
        <f>IF(V13="mobile",VLOOKUP($D13&amp;$G13,Mobile_options!$X$1:$Y$150,2,FALSE),IF(EmissRed_Shortlist!V13="nonpoint",VLOOKUP($D13&amp;$G13,Nonpoint_options!$W$1:$X$150,2,FALSE),VLOOKUP($D13&amp;$G13,Point_options!$U$1:$V$150,2,FALSE)))</f>
        <v>NA</v>
      </c>
      <c r="K13" s="159">
        <f>IF($V13="mobile",SUMIFS(Mobile_options!I:I,Mobile_options!$B:$B,$D13,Mobile_options!$E:$E,$G13),IF($V13="nonpoint",SUMIFS(Nonpoint_options!I:I,Nonpoint_options!$B:$B,$D13,Nonpoint_options!$E:$E,$G13),SUMIFS(Point_options!I:I,Point_options!$B:$B,$D13,Point_options!$E:$E,$G13)))</f>
        <v>8.4205163674629144E-2</v>
      </c>
      <c r="L13" s="168">
        <f>IF($V13="mobile",SUMIFS(Mobile_options!J:J,Mobile_options!$B:$B,$D13,Mobile_options!$E:$E,$G13),IF($V13="nonpoint",SUMIFS(Nonpoint_options!J:J,Nonpoint_options!$B:$B,$D13,Nonpoint_options!$E:$E,$G13),SUMIFS(Point_options!J:J,Point_options!$B:$B,$D13,Point_options!$E:$E,$G13)))</f>
        <v>7583.9974902857566</v>
      </c>
      <c r="M13" s="153" t="s">
        <v>250</v>
      </c>
      <c r="N13" s="153" t="s">
        <v>250</v>
      </c>
      <c r="O13" s="153" t="s">
        <v>250</v>
      </c>
      <c r="P13" s="153" t="s">
        <v>250</v>
      </c>
      <c r="Q13" s="153" t="s">
        <v>251</v>
      </c>
      <c r="R13" s="153" t="s">
        <v>251</v>
      </c>
      <c r="V13" s="186" t="s">
        <v>350</v>
      </c>
      <c r="W13" s="200">
        <f t="shared" si="0"/>
        <v>6</v>
      </c>
    </row>
    <row r="14" spans="1:23" s="152" customFormat="1" x14ac:dyDescent="0.3">
      <c r="A14" s="153">
        <f>VLOOKUP(D14,'C-E_Shortlist'!$D$8:$Z$114,23,FALSE)</f>
        <v>77</v>
      </c>
      <c r="B14" s="153">
        <v>7</v>
      </c>
      <c r="C14" s="153" t="str">
        <f>VLOOKUP(D14,Shortlist_xref!$A$5:$C$77,2,FALSE)</f>
        <v>EmissRed</v>
      </c>
      <c r="D14" s="153" t="s">
        <v>134</v>
      </c>
      <c r="E14" s="138" t="s">
        <v>133</v>
      </c>
      <c r="F14" s="138" t="s">
        <v>135</v>
      </c>
      <c r="G14" s="153" t="s">
        <v>53</v>
      </c>
      <c r="H14" s="157">
        <f>IF($V14="mobile",SUMIFS(Mobile_options!F:F,Mobile_options!$B:$B,$D14,Mobile_options!$E:$E,$G14),IF($V14="nonpoint",SUMIFS(Nonpoint_options!F:F,Nonpoint_options!$B:$B,$D14,Nonpoint_options!$E:$E,$G14),SUMIFS(Point_options!F:F,Point_options!$B:$B,$D14,Point_options!$E:$E,$G14)))</f>
        <v>0.1</v>
      </c>
      <c r="I14" s="154">
        <f>IF($V14="mobile",SUMIFS(Mobile_options!G:G,Mobile_options!$B:$B,$D14,Mobile_options!$E:$E,$G14),IF($V14="nonpoint",SUMIFS(Nonpoint_options!G:G,Nonpoint_options!$B:$B,$D14,Nonpoint_options!$E:$E,$G14),SUMIFS(Point_options!G:G,Point_options!$B:$B,$D14,Point_options!$E:$E,$G14)))</f>
        <v>0.5955056179775281</v>
      </c>
      <c r="J14" s="158" t="str">
        <f>IF(V14="mobile",VLOOKUP($D14&amp;$G14,Mobile_options!$X$1:$Y$150,2,FALSE),IF(EmissRed_Shortlist!V14="nonpoint",VLOOKUP($D14&amp;$G14,Nonpoint_options!$W$1:$X$150,2,FALSE),VLOOKUP($D14&amp;$G14,Point_options!$U$1:$V$150,2,FALSE)))</f>
        <v>NA</v>
      </c>
      <c r="K14" s="159">
        <f>IF($V14="mobile",SUMIFS(Mobile_options!I:I,Mobile_options!$B:$B,$D14,Mobile_options!$E:$E,$G14),IF($V14="nonpoint",SUMIFS(Nonpoint_options!I:I,Nonpoint_options!$B:$B,$D14,Nonpoint_options!$E:$E,$G14),SUMIFS(Point_options!I:I,Point_options!$B:$B,$D14,Point_options!$E:$E,$G14)))</f>
        <v>8.4205163674629144E-2</v>
      </c>
      <c r="L14" s="168">
        <f>IF($V14="mobile",SUMIFS(Mobile_options!J:J,Mobile_options!$B:$B,$D14,Mobile_options!$E:$E,$G14),IF($V14="nonpoint",SUMIFS(Nonpoint_options!J:J,Nonpoint_options!$B:$B,$D14,Nonpoint_options!$E:$E,$G14),SUMIFS(Point_options!J:J,Point_options!$B:$B,$D14,Point_options!$E:$E,$G14)))</f>
        <v>7564.8244629226756</v>
      </c>
      <c r="M14" s="153" t="s">
        <v>250</v>
      </c>
      <c r="N14" s="153" t="s">
        <v>250</v>
      </c>
      <c r="O14" s="153" t="s">
        <v>250</v>
      </c>
      <c r="P14" s="153" t="s">
        <v>250</v>
      </c>
      <c r="Q14" s="153" t="s">
        <v>251</v>
      </c>
      <c r="R14" s="153" t="s">
        <v>251</v>
      </c>
      <c r="V14" s="186" t="s">
        <v>350</v>
      </c>
      <c r="W14" s="200">
        <f t="shared" si="0"/>
        <v>7</v>
      </c>
    </row>
    <row r="15" spans="1:23" s="152" customFormat="1" x14ac:dyDescent="0.3">
      <c r="A15" s="153">
        <f>VLOOKUP(D15,'C-E_Shortlist'!$D$8:$Z$114,23,FALSE)</f>
        <v>29</v>
      </c>
      <c r="B15" s="153">
        <v>8</v>
      </c>
      <c r="C15" s="153" t="str">
        <f>VLOOKUP(D15,Shortlist_xref!$A$5:$C$77,2,FALSE)</f>
        <v>EmissRed</v>
      </c>
      <c r="D15" s="153" t="s">
        <v>24</v>
      </c>
      <c r="E15" s="138" t="s">
        <v>25</v>
      </c>
      <c r="F15" s="138" t="s">
        <v>26</v>
      </c>
      <c r="G15" s="153" t="s">
        <v>12</v>
      </c>
      <c r="H15" s="157">
        <f>IF($V15="mobile",SUMIFS(Mobile_options!F:F,Mobile_options!$B:$B,$D15,Mobile_options!$E:$E,$G15),IF($V15="nonpoint",SUMIFS(Nonpoint_options!F:F,Nonpoint_options!$B:$B,$D15,Nonpoint_options!$E:$E,$G15),SUMIFS(Point_options!F:F,Point_options!$B:$B,$D15,Point_options!$E:$E,$G15)))</f>
        <v>0.1</v>
      </c>
      <c r="I15" s="154">
        <f>IF($V15="mobile",SUMIFS(Mobile_options!G:G,Mobile_options!$B:$B,$D15,Mobile_options!$E:$E,$G15),IF($V15="nonpoint",SUMIFS(Nonpoint_options!G:G,Nonpoint_options!$B:$B,$D15,Nonpoint_options!$E:$E,$G15),SUMIFS(Point_options!G:G,Point_options!$B:$B,$D15,Point_options!$E:$E,$G15)))</f>
        <v>0.9</v>
      </c>
      <c r="J15" s="158">
        <f>IF(V15="mobile",VLOOKUP($D15&amp;$G15,Mobile_options!$X$1:$Y$150,2,FALSE),IF(EmissRed_Shortlist!V15="nonpoint",VLOOKUP($D15&amp;$G15,Nonpoint_options!$W$1:$X$150,2,FALSE),VLOOKUP($D15&amp;$G15,Point_options!$U$1:$V$150,2,FALSE)))</f>
        <v>1825</v>
      </c>
      <c r="K15" s="159">
        <f>IF($V15="mobile",SUMIFS(Mobile_options!I:I,Mobile_options!$B:$B,$D15,Mobile_options!$E:$E,$G15),IF($V15="nonpoint",SUMIFS(Nonpoint_options!I:I,Nonpoint_options!$B:$B,$D15,Nonpoint_options!$E:$E,$G15),SUMIFS(Point_options!I:I,Point_options!$B:$B,$D15,Point_options!$E:$E,$G15)))</f>
        <v>1.0913340875354726E-3</v>
      </c>
      <c r="L15" s="168">
        <f>IF($V15="mobile",SUMIFS(Mobile_options!J:J,Mobile_options!$B:$B,$D15,Mobile_options!$E:$E,$G15),IF($V15="nonpoint",SUMIFS(Nonpoint_options!J:J,Nonpoint_options!$B:$B,$D15,Nonpoint_options!$E:$E,$G15),SUMIFS(Point_options!J:J,Point_options!$B:$B,$D15,Point_options!$E:$E,$G15)))</f>
        <v>6957.523090314</v>
      </c>
      <c r="M15" s="153" t="s">
        <v>250</v>
      </c>
      <c r="N15" s="153" t="s">
        <v>250</v>
      </c>
      <c r="O15" s="153" t="s">
        <v>263</v>
      </c>
      <c r="P15" s="153" t="s">
        <v>250</v>
      </c>
      <c r="Q15" s="153" t="s">
        <v>251</v>
      </c>
      <c r="R15" s="153" t="s">
        <v>253</v>
      </c>
      <c r="V15" s="186" t="s">
        <v>351</v>
      </c>
      <c r="W15" s="200">
        <f t="shared" si="0"/>
        <v>8</v>
      </c>
    </row>
    <row r="16" spans="1:23" s="152" customFormat="1" ht="24.2" x14ac:dyDescent="0.3">
      <c r="A16" s="153">
        <f>VLOOKUP(D16,'C-E_Shortlist'!$D$8:$Z$114,23,FALSE)</f>
        <v>46</v>
      </c>
      <c r="B16" s="153">
        <v>9</v>
      </c>
      <c r="C16" s="153" t="str">
        <f>VLOOKUP(D16,Shortlist_xref!$A$5:$C$77,2,FALSE)</f>
        <v>EmissRed</v>
      </c>
      <c r="D16" s="153" t="s">
        <v>87</v>
      </c>
      <c r="E16" s="138" t="s">
        <v>88</v>
      </c>
      <c r="F16" s="138" t="s">
        <v>89</v>
      </c>
      <c r="G16" s="153" t="s">
        <v>12</v>
      </c>
      <c r="H16" s="157">
        <f>IF($V16="mobile",SUMIFS(Mobile_options!F:F,Mobile_options!$B:$B,$D16,Mobile_options!$E:$E,$G16),IF($V16="nonpoint",SUMIFS(Nonpoint_options!F:F,Nonpoint_options!$B:$B,$D16,Nonpoint_options!$E:$E,$G16),SUMIFS(Point_options!F:F,Point_options!$B:$B,$D16,Point_options!$E:$E,$G16)))</f>
        <v>0.1</v>
      </c>
      <c r="I16" s="154">
        <f>IF($V16="mobile",SUMIFS(Mobile_options!G:G,Mobile_options!$B:$B,$D16,Mobile_options!$E:$E,$G16),IF($V16="nonpoint",SUMIFS(Nonpoint_options!G:G,Nonpoint_options!$B:$B,$D16,Nonpoint_options!$E:$E,$G16),SUMIFS(Point_options!G:G,Point_options!$B:$B,$D16,Point_options!$E:$E,$G16)))</f>
        <v>0.45</v>
      </c>
      <c r="J16" s="158">
        <f>IF(V16="mobile",VLOOKUP($D16&amp;$G16,Mobile_options!$X$1:$Y$150,2,FALSE),IF(EmissRed_Shortlist!V16="nonpoint",VLOOKUP($D16&amp;$G16,Nonpoint_options!$W$1:$X$150,2,FALSE),VLOOKUP($D16&amp;$G16,Point_options!$U$1:$V$150,2,FALSE)))</f>
        <v>20000</v>
      </c>
      <c r="K16" s="159">
        <f>IF($V16="mobile",SUMIFS(Mobile_options!I:I,Mobile_options!$B:$B,$D16,Mobile_options!$E:$E,$G16),IF($V16="nonpoint",SUMIFS(Nonpoint_options!I:I,Nonpoint_options!$B:$B,$D16,Nonpoint_options!$E:$E,$G16),SUMIFS(Point_options!I:I,Point_options!$B:$B,$D16,Point_options!$E:$E,$G16)))</f>
        <v>0.11775342127344109</v>
      </c>
      <c r="L16" s="168">
        <f>IF($V16="mobile",SUMIFS(Mobile_options!J:J,Mobile_options!$B:$B,$D16,Mobile_options!$E:$E,$G16),IF($V16="nonpoint",SUMIFS(Nonpoint_options!J:J,Nonpoint_options!$B:$B,$D16,Nonpoint_options!$E:$E,$G16),SUMIFS(Point_options!J:J,Point_options!$B:$B,$D16,Point_options!$E:$E,$G16)))</f>
        <v>5681.8281414511894</v>
      </c>
      <c r="M16" s="153" t="s">
        <v>250</v>
      </c>
      <c r="N16" s="153" t="s">
        <v>250</v>
      </c>
      <c r="O16" s="153" t="s">
        <v>262</v>
      </c>
      <c r="P16" s="153" t="s">
        <v>250</v>
      </c>
      <c r="Q16" s="153" t="s">
        <v>251</v>
      </c>
      <c r="R16" s="153" t="s">
        <v>251</v>
      </c>
      <c r="V16" s="186" t="s">
        <v>350</v>
      </c>
      <c r="W16" s="200">
        <f t="shared" si="0"/>
        <v>9</v>
      </c>
    </row>
    <row r="17" spans="1:23" s="152" customFormat="1" x14ac:dyDescent="0.3">
      <c r="A17" s="160">
        <f>VLOOKUP(D17,'C-E_Shortlist'!$D$8:$Z$114,23,FALSE)</f>
        <v>45</v>
      </c>
      <c r="B17" s="160">
        <v>10</v>
      </c>
      <c r="C17" s="160" t="str">
        <f>VLOOKUP(D17,Shortlist_xref!$A$5:$C$77,2,FALSE)</f>
        <v>EmissRed</v>
      </c>
      <c r="D17" s="160" t="s">
        <v>309</v>
      </c>
      <c r="E17" s="114" t="s">
        <v>328</v>
      </c>
      <c r="F17" s="114" t="s">
        <v>329</v>
      </c>
      <c r="G17" s="160" t="s">
        <v>53</v>
      </c>
      <c r="H17" s="161">
        <f>IF($V17="mobile",SUMIFS(Mobile_options!F:F,Mobile_options!$B:$B,$D17,Mobile_options!$E:$E,$G17),IF($V17="nonpoint",SUMIFS(Nonpoint_options!F:F,Nonpoint_options!$B:$B,$D17,Nonpoint_options!$E:$E,$G17),SUMIFS(Point_options!F:F,Point_options!$B:$B,$D17,Point_options!$E:$E,$G17)))</f>
        <v>0.1</v>
      </c>
      <c r="I17" s="162">
        <f>IF($V17="mobile",SUMIFS(Mobile_options!G:G,Mobile_options!$B:$B,$D17,Mobile_options!$E:$E,$G17),IF($V17="nonpoint",SUMIFS(Nonpoint_options!G:G,Nonpoint_options!$B:$B,$D17,Nonpoint_options!$E:$E,$G17),SUMIFS(Point_options!G:G,Point_options!$B:$B,$D17,Point_options!$E:$E,$G17)))</f>
        <v>0.75</v>
      </c>
      <c r="J17" s="163">
        <f>IF(V17="mobile",VLOOKUP($D17&amp;$G17,Mobile_options!$X$1:$Y$150,2,FALSE),IF(EmissRed_Shortlist!V17="nonpoint",VLOOKUP($D17&amp;$G17,Nonpoint_options!$W$1:$X$150,2,FALSE),VLOOKUP($D17&amp;$G17,Point_options!$U$1:$V$150,2,FALSE)))</f>
        <v>6000</v>
      </c>
      <c r="K17" s="164">
        <f>IF($V17="mobile",SUMIFS(Mobile_options!I:I,Mobile_options!$B:$B,$D17,Mobile_options!$E:$E,$G17),IF($V17="nonpoint",SUMIFS(Nonpoint_options!I:I,Nonpoint_options!$B:$B,$D17,Nonpoint_options!$E:$E,$G17),SUMIFS(Point_options!I:I,Point_options!$B:$B,$D17,Point_options!$E:$E,$G17)))</f>
        <v>4.9876557715544799E-2</v>
      </c>
      <c r="L17" s="169">
        <f>IF($V17="mobile",SUMIFS(Mobile_options!J:J,Mobile_options!$B:$B,$D17,Mobile_options!$E:$E,$G17),IF($V17="nonpoint",SUMIFS(Nonpoint_options!J:J,Nonpoint_options!$B:$B,$D17,Nonpoint_options!$E:$E,$G17),SUMIFS(Point_options!J:J,Point_options!$B:$B,$D17,Point_options!$E:$E,$G17)))</f>
        <v>5643.2852569826791</v>
      </c>
      <c r="M17" s="160" t="s">
        <v>250</v>
      </c>
      <c r="N17" s="160" t="s">
        <v>250</v>
      </c>
      <c r="O17" s="160" t="s">
        <v>263</v>
      </c>
      <c r="P17" s="160" t="s">
        <v>250</v>
      </c>
      <c r="Q17" s="160" t="s">
        <v>251</v>
      </c>
      <c r="R17" s="160" t="s">
        <v>251</v>
      </c>
      <c r="V17" s="186" t="s">
        <v>350</v>
      </c>
      <c r="W17" s="200">
        <f t="shared" si="0"/>
        <v>10</v>
      </c>
    </row>
    <row r="18" spans="1:23" s="152" customFormat="1" x14ac:dyDescent="0.3">
      <c r="A18" s="153">
        <f>VLOOKUP(D18,'C-E_Shortlist'!$D$8:$Z$114,23,FALSE)</f>
        <v>68</v>
      </c>
      <c r="B18" s="153">
        <v>11</v>
      </c>
      <c r="C18" s="153" t="str">
        <f>VLOOKUP(D18,Shortlist_xref!$A$5:$C$77,2,FALSE)</f>
        <v>EmissRed</v>
      </c>
      <c r="D18" s="153" t="s">
        <v>149</v>
      </c>
      <c r="E18" s="138" t="s">
        <v>150</v>
      </c>
      <c r="F18" s="138" t="s">
        <v>151</v>
      </c>
      <c r="G18" s="153" t="s">
        <v>12</v>
      </c>
      <c r="H18" s="157">
        <f>IF($V18="mobile",SUMIFS(Mobile_options!F:F,Mobile_options!$B:$B,$D18,Mobile_options!$E:$E,$G18),IF($V18="nonpoint",SUMIFS(Nonpoint_options!F:F,Nonpoint_options!$B:$B,$D18,Nonpoint_options!$E:$E,$G18),SUMIFS(Point_options!F:F,Point_options!$B:$B,$D18,Point_options!$E:$E,$G18)))</f>
        <v>0.1</v>
      </c>
      <c r="I18" s="154">
        <f>IF($V18="mobile",SUMIFS(Mobile_options!G:G,Mobile_options!$B:$B,$D18,Mobile_options!$E:$E,$G18),IF($V18="nonpoint",SUMIFS(Nonpoint_options!G:G,Nonpoint_options!$B:$B,$D18,Nonpoint_options!$E:$E,$G18),SUMIFS(Point_options!G:G,Point_options!$B:$B,$D18,Point_options!$E:$E,$G18)))</f>
        <v>0.9</v>
      </c>
      <c r="J18" s="158" t="str">
        <f>IF(V18="mobile",VLOOKUP($D18&amp;$G18,Mobile_options!$X$1:$Y$150,2,FALSE),IF(EmissRed_Shortlist!V18="nonpoint",VLOOKUP($D18&amp;$G18,Nonpoint_options!$W$1:$X$150,2,FALSE),VLOOKUP($D18&amp;$G18,Point_options!$U$1:$V$150,2,FALSE)))</f>
        <v>NA</v>
      </c>
      <c r="K18" s="159">
        <f>IF($V18="mobile",SUMIFS(Mobile_options!I:I,Mobile_options!$B:$B,$D18,Mobile_options!$E:$E,$G18),IF($V18="nonpoint",SUMIFS(Nonpoint_options!I:I,Nonpoint_options!$B:$B,$D18,Nonpoint_options!$E:$E,$G18),SUMIFS(Point_options!I:I,Point_options!$B:$B,$D18,Point_options!$E:$E,$G18)))</f>
        <v>5.7096414449347391E-2</v>
      </c>
      <c r="L18" s="168">
        <f>IF($V18="mobile",SUMIFS(Mobile_options!J:J,Mobile_options!$B:$B,$D18,Mobile_options!$E:$E,$G18),IF($V18="nonpoint",SUMIFS(Nonpoint_options!J:J,Nonpoint_options!$B:$B,$D18,Nonpoint_options!$E:$E,$G18),SUMIFS(Point_options!J:J,Point_options!$B:$B,$D18,Point_options!$E:$E,$G18)))</f>
        <v>5510.0227388031308</v>
      </c>
      <c r="M18" s="153" t="s">
        <v>250</v>
      </c>
      <c r="N18" s="153" t="s">
        <v>250</v>
      </c>
      <c r="O18" s="153" t="s">
        <v>250</v>
      </c>
      <c r="P18" s="153" t="s">
        <v>250</v>
      </c>
      <c r="Q18" s="153" t="s">
        <v>251</v>
      </c>
      <c r="R18" s="153" t="s">
        <v>251</v>
      </c>
      <c r="V18" s="186" t="s">
        <v>352</v>
      </c>
      <c r="W18" s="200">
        <f t="shared" si="0"/>
        <v>11</v>
      </c>
    </row>
    <row r="19" spans="1:23" s="152" customFormat="1" x14ac:dyDescent="0.3">
      <c r="A19" s="160">
        <f>VLOOKUP(D19,'C-E_Shortlist'!$D$8:$Z$114,23,FALSE)</f>
        <v>76</v>
      </c>
      <c r="B19" s="160">
        <v>12</v>
      </c>
      <c r="C19" s="160" t="str">
        <f>VLOOKUP(D19,Shortlist_xref!$A$5:$C$77,2,FALSE)</f>
        <v>EmissRed</v>
      </c>
      <c r="D19" s="160" t="s">
        <v>310</v>
      </c>
      <c r="E19" s="114" t="s">
        <v>330</v>
      </c>
      <c r="F19" s="114" t="s">
        <v>331</v>
      </c>
      <c r="G19" s="160" t="s">
        <v>53</v>
      </c>
      <c r="H19" s="161">
        <f>IF($V19="mobile",SUMIFS(Mobile_options!F:F,Mobile_options!$B:$B,$D19,Mobile_options!$E:$E,$G19),IF($V19="nonpoint",SUMIFS(Nonpoint_options!F:F,Nonpoint_options!$B:$B,$D19,Nonpoint_options!$E:$E,$G19),SUMIFS(Point_options!F:F,Point_options!$B:$B,$D19,Point_options!$E:$E,$G19)))</f>
        <v>0.1</v>
      </c>
      <c r="I19" s="162">
        <f>IF($V19="mobile",SUMIFS(Mobile_options!G:G,Mobile_options!$B:$B,$D19,Mobile_options!$E:$E,$G19),IF($V19="nonpoint",SUMIFS(Nonpoint_options!G:G,Nonpoint_options!$B:$B,$D19,Nonpoint_options!$E:$E,$G19),SUMIFS(Point_options!G:G,Point_options!$B:$B,$D19,Point_options!$E:$E,$G19)))</f>
        <v>0.59499999999999997</v>
      </c>
      <c r="J19" s="163" t="str">
        <f>IF(V19="mobile",VLOOKUP($D19&amp;$G19,Mobile_options!$X$1:$Y$150,2,FALSE),IF(EmissRed_Shortlist!V19="nonpoint",VLOOKUP($D19&amp;$G19,Nonpoint_options!$W$1:$X$150,2,FALSE),VLOOKUP($D19&amp;$G19,Point_options!$U$1:$V$150,2,FALSE)))</f>
        <v>NA</v>
      </c>
      <c r="K19" s="164">
        <f>IF($V19="mobile",SUMIFS(Mobile_options!I:I,Mobile_options!$B:$B,$D19,Mobile_options!$E:$E,$G19),IF($V19="nonpoint",SUMIFS(Nonpoint_options!I:I,Nonpoint_options!$B:$B,$D19,Nonpoint_options!$E:$E,$G19),SUMIFS(Point_options!I:I,Point_options!$B:$B,$D19,Point_options!$E:$E,$G19)))</f>
        <v>0.12528949785478477</v>
      </c>
      <c r="L19" s="169">
        <f>IF($V19="mobile",SUMIFS(Mobile_options!J:J,Mobile_options!$B:$B,$D19,Mobile_options!$E:$E,$G19),IF($V19="nonpoint",SUMIFS(Nonpoint_options!J:J,Nonpoint_options!$B:$B,$D19,Nonpoint_options!$E:$E,$G19),SUMIFS(Point_options!J:J,Point_options!$B:$B,$D19,Point_options!$E:$E,$G19)))</f>
        <v>11246.20257283964</v>
      </c>
      <c r="M19" s="160" t="s">
        <v>250</v>
      </c>
      <c r="N19" s="160" t="s">
        <v>250</v>
      </c>
      <c r="O19" s="160" t="s">
        <v>263</v>
      </c>
      <c r="P19" s="160" t="s">
        <v>250</v>
      </c>
      <c r="Q19" s="160" t="s">
        <v>251</v>
      </c>
      <c r="R19" s="160" t="s">
        <v>251</v>
      </c>
      <c r="V19" s="186" t="s">
        <v>350</v>
      </c>
      <c r="W19" s="200">
        <f t="shared" si="0"/>
        <v>12</v>
      </c>
    </row>
    <row r="20" spans="1:23" s="152" customFormat="1" ht="24.2" x14ac:dyDescent="0.3">
      <c r="A20" s="153">
        <f>VLOOKUP(D20,'C-E_Shortlist'!$D$8:$Z$114,23,FALSE)</f>
        <v>59</v>
      </c>
      <c r="B20" s="153">
        <v>13</v>
      </c>
      <c r="C20" s="153" t="str">
        <f>VLOOKUP(D20,Shortlist_xref!$A$5:$C$77,2,FALSE)</f>
        <v>EmissRed</v>
      </c>
      <c r="D20" s="153" t="s">
        <v>81</v>
      </c>
      <c r="E20" s="138" t="s">
        <v>82</v>
      </c>
      <c r="F20" s="138" t="s">
        <v>83</v>
      </c>
      <c r="G20" s="153" t="s">
        <v>12</v>
      </c>
      <c r="H20" s="157">
        <f>IF($V20="mobile",SUMIFS(Mobile_options!F:F,Mobile_options!$B:$B,$D20,Mobile_options!$E:$E,$G20),IF($V20="nonpoint",SUMIFS(Nonpoint_options!F:F,Nonpoint_options!$B:$B,$D20,Nonpoint_options!$E:$E,$G20),SUMIFS(Point_options!F:F,Point_options!$B:$B,$D20,Point_options!$E:$E,$G20)))</f>
        <v>0.1</v>
      </c>
      <c r="I20" s="154">
        <f>IF($V20="mobile",SUMIFS(Mobile_options!G:G,Mobile_options!$B:$B,$D20,Mobile_options!$E:$E,$G20),IF($V20="nonpoint",SUMIFS(Nonpoint_options!G:G,Nonpoint_options!$B:$B,$D20,Nonpoint_options!$E:$E,$G20),SUMIFS(Point_options!G:G,Point_options!$B:$B,$D20,Point_options!$E:$E,$G20)))</f>
        <v>0.96</v>
      </c>
      <c r="J20" s="158" t="str">
        <f>IF(V20="mobile",VLOOKUP($D20&amp;$G20,Mobile_options!$X$1:$Y$150,2,FALSE),IF(EmissRed_Shortlist!V20="nonpoint",VLOOKUP($D20&amp;$G20,Nonpoint_options!$W$1:$X$150,2,FALSE),VLOOKUP($D20&amp;$G20,Point_options!$U$1:$V$150,2,FALSE)))</f>
        <v>$20,000 - $200,000/ton</v>
      </c>
      <c r="K20" s="159">
        <f>IF($V20="mobile",SUMIFS(Mobile_options!I:I,Mobile_options!$B:$B,$D20,Mobile_options!$E:$E,$G20),IF($V20="nonpoint",SUMIFS(Nonpoint_options!I:I,Nonpoint_options!$B:$B,$D20,Nonpoint_options!$E:$E,$G20),SUMIFS(Point_options!I:I,Point_options!$B:$B,$D20,Point_options!$E:$E,$G20)))</f>
        <v>4.8074418668984459E-2</v>
      </c>
      <c r="L20" s="168">
        <f>IF($V20="mobile",SUMIFS(Mobile_options!J:J,Mobile_options!$B:$B,$D20,Mobile_options!$E:$E,$G20),IF($V20="nonpoint",SUMIFS(Nonpoint_options!J:J,Nonpoint_options!$B:$B,$D20,Nonpoint_options!$E:$E,$G20),SUMIFS(Point_options!J:J,Point_options!$B:$B,$D20,Point_options!$E:$E,$G20)))</f>
        <v>4948.6566202196727</v>
      </c>
      <c r="M20" s="153" t="s">
        <v>250</v>
      </c>
      <c r="N20" s="153" t="s">
        <v>250</v>
      </c>
      <c r="O20" s="153" t="s">
        <v>262</v>
      </c>
      <c r="P20" s="153" t="s">
        <v>250</v>
      </c>
      <c r="Q20" s="153" t="s">
        <v>253</v>
      </c>
      <c r="R20" s="153" t="s">
        <v>253</v>
      </c>
      <c r="V20" s="186" t="s">
        <v>350</v>
      </c>
      <c r="W20" s="200">
        <f t="shared" si="0"/>
        <v>13</v>
      </c>
    </row>
    <row r="21" spans="1:23" s="152" customFormat="1" x14ac:dyDescent="0.3">
      <c r="A21" s="160">
        <f>VLOOKUP(D21,'C-E_Shortlist'!$D$8:$Z$114,23,FALSE)</f>
        <v>41</v>
      </c>
      <c r="B21" s="160">
        <v>14</v>
      </c>
      <c r="C21" s="160" t="str">
        <f>VLOOKUP(D21,Shortlist_xref!$A$5:$C$77,2,FALSE)</f>
        <v>EmissRed</v>
      </c>
      <c r="D21" s="160" t="s">
        <v>313</v>
      </c>
      <c r="E21" s="114" t="s">
        <v>20</v>
      </c>
      <c r="F21" s="114" t="s">
        <v>21</v>
      </c>
      <c r="G21" s="160" t="s">
        <v>12</v>
      </c>
      <c r="H21" s="161">
        <f>IF($V21="mobile",SUMIFS(Mobile_options!F:F,Mobile_options!$B:$B,$D21,Mobile_options!$E:$E,$G21),IF($V21="nonpoint",SUMIFS(Nonpoint_options!F:F,Nonpoint_options!$B:$B,$D21,Nonpoint_options!$E:$E,$G21),SUMIFS(Point_options!F:F,Point_options!$B:$B,$D21,Point_options!$E:$E,$G21)))</f>
        <v>0.1</v>
      </c>
      <c r="I21" s="162">
        <f>IF($V21="mobile",SUMIFS(Mobile_options!G:G,Mobile_options!$B:$B,$D21,Mobile_options!$E:$E,$G21),IF($V21="nonpoint",SUMIFS(Nonpoint_options!G:G,Nonpoint_options!$B:$B,$D21,Nonpoint_options!$E:$E,$G21),SUMIFS(Point_options!G:G,Point_options!$B:$B,$D21,Point_options!$E:$E,$G21)))</f>
        <v>0.85</v>
      </c>
      <c r="J21" s="163">
        <f>IF(V21="mobile",VLOOKUP($D21&amp;$G21,Mobile_options!$X$1:$Y$150,2,FALSE),IF(EmissRed_Shortlist!V21="nonpoint",VLOOKUP($D21&amp;$G21,Nonpoint_options!$W$1:$X$150,2,FALSE),VLOOKUP($D21&amp;$G21,Point_options!$U$1:$V$150,2,FALSE)))</f>
        <v>3500</v>
      </c>
      <c r="K21" s="164">
        <f>IF($V21="mobile",SUMIFS(Mobile_options!I:I,Mobile_options!$B:$B,$D21,Mobile_options!$E:$E,$G21),IF($V21="nonpoint",SUMIFS(Nonpoint_options!I:I,Nonpoint_options!$B:$B,$D21,Nonpoint_options!$E:$E,$G21),SUMIFS(Point_options!I:I,Point_options!$B:$B,$D21,Point_options!$E:$E,$G21)))</f>
        <v>6.2039100031798411E-4</v>
      </c>
      <c r="L21" s="169">
        <f>IF($V21="mobile",SUMIFS(Mobile_options!J:J,Mobile_options!$B:$B,$D21,Mobile_options!$E:$E,$G21),IF($V21="nonpoint",SUMIFS(Nonpoint_options!J:J,Nonpoint_options!$B:$B,$D21,Nonpoint_options!$E:$E,$G21),SUMIFS(Point_options!J:J,Point_options!$B:$B,$D21,Point_options!$E:$E,$G21)))</f>
        <v>4754.1648938735507</v>
      </c>
      <c r="M21" s="160" t="s">
        <v>250</v>
      </c>
      <c r="N21" s="160" t="s">
        <v>250</v>
      </c>
      <c r="O21" s="160" t="s">
        <v>263</v>
      </c>
      <c r="P21" s="160" t="s">
        <v>250</v>
      </c>
      <c r="Q21" s="160" t="s">
        <v>251</v>
      </c>
      <c r="R21" s="160" t="s">
        <v>251</v>
      </c>
      <c r="V21" s="186" t="s">
        <v>351</v>
      </c>
      <c r="W21" s="200">
        <f t="shared" si="0"/>
        <v>14</v>
      </c>
    </row>
    <row r="22" spans="1:23" s="152" customFormat="1" ht="24.2" x14ac:dyDescent="0.3">
      <c r="A22" s="153">
        <f>VLOOKUP(D22,'C-E_Shortlist'!$D$8:$Z$114,23,FALSE)</f>
        <v>28</v>
      </c>
      <c r="B22" s="153">
        <v>15</v>
      </c>
      <c r="C22" s="153" t="str">
        <f>VLOOKUP(D22,Shortlist_xref!$A$5:$C$77,2,FALSE)</f>
        <v>EmissRed</v>
      </c>
      <c r="D22" s="153" t="s">
        <v>84</v>
      </c>
      <c r="E22" s="138" t="s">
        <v>85</v>
      </c>
      <c r="F22" s="138" t="s">
        <v>86</v>
      </c>
      <c r="G22" s="153" t="s">
        <v>12</v>
      </c>
      <c r="H22" s="157">
        <f>IF($V22="mobile",SUMIFS(Mobile_options!F:F,Mobile_options!$B:$B,$D22,Mobile_options!$E:$E,$G22),IF($V22="nonpoint",SUMIFS(Nonpoint_options!F:F,Nonpoint_options!$B:$B,$D22,Nonpoint_options!$E:$E,$G22),SUMIFS(Point_options!F:F,Point_options!$B:$B,$D22,Point_options!$E:$E,$G22)))</f>
        <v>0.1</v>
      </c>
      <c r="I22" s="154">
        <f>IF($V22="mobile",SUMIFS(Mobile_options!G:G,Mobile_options!$B:$B,$D22,Mobile_options!$E:$E,$G22),IF($V22="nonpoint",SUMIFS(Nonpoint_options!G:G,Nonpoint_options!$B:$B,$D22,Nonpoint_options!$E:$E,$G22),SUMIFS(Point_options!G:G,Point_options!$B:$B,$D22,Point_options!$E:$E,$G22)))</f>
        <v>0.41</v>
      </c>
      <c r="J22" s="158" t="str">
        <f>IF(V22="mobile",VLOOKUP($D22&amp;$G22,Mobile_options!$X$1:$Y$150,2,FALSE),IF(EmissRed_Shortlist!V22="nonpoint",VLOOKUP($D22&amp;$G22,Nonpoint_options!$W$1:$X$150,2,FALSE),VLOOKUP($D22&amp;$G22,Point_options!$U$1:$V$150,2,FALSE)))</f>
        <v>$928-$1,974</v>
      </c>
      <c r="K22" s="159">
        <f>IF($V22="mobile",SUMIFS(Mobile_options!I:I,Mobile_options!$B:$B,$D22,Mobile_options!$E:$E,$G22),IF($V22="nonpoint",SUMIFS(Nonpoint_options!I:I,Nonpoint_options!$B:$B,$D22,Nonpoint_options!$E:$E,$G22),SUMIFS(Point_options!I:I,Point_options!$B:$B,$D22,Point_options!$E:$E,$G22)))</f>
        <v>0.10182339626862107</v>
      </c>
      <c r="L22" s="168">
        <f>IF($V22="mobile",SUMIFS(Mobile_options!J:J,Mobile_options!$B:$B,$D22,Mobile_options!$E:$E,$G22),IF($V22="nonpoint",SUMIFS(Nonpoint_options!J:J,Nonpoint_options!$B:$B,$D22,Nonpoint_options!$E:$E,$G22),SUMIFS(Point_options!J:J,Point_options!$B:$B,$D22,Point_options!$E:$E,$G22)))</f>
        <v>4476.4473492230227</v>
      </c>
      <c r="M22" s="153" t="s">
        <v>250</v>
      </c>
      <c r="N22" s="153" t="s">
        <v>250</v>
      </c>
      <c r="O22" s="153" t="s">
        <v>262</v>
      </c>
      <c r="P22" s="153" t="s">
        <v>250</v>
      </c>
      <c r="Q22" s="153" t="s">
        <v>251</v>
      </c>
      <c r="R22" s="153" t="s">
        <v>253</v>
      </c>
      <c r="V22" s="186" t="s">
        <v>350</v>
      </c>
      <c r="W22" s="200">
        <f t="shared" si="0"/>
        <v>15</v>
      </c>
    </row>
    <row r="23" spans="1:23" s="152" customFormat="1" ht="24.2" x14ac:dyDescent="0.3">
      <c r="A23" s="153">
        <f>VLOOKUP(D23,'C-E_Shortlist'!$D$8:$Z$114,23,FALSE)</f>
        <v>67</v>
      </c>
      <c r="B23" s="153">
        <v>16</v>
      </c>
      <c r="C23" s="153" t="str">
        <f>VLOOKUP(D23,Shortlist_xref!$A$5:$C$77,2,FALSE)</f>
        <v>EmissRed</v>
      </c>
      <c r="D23" s="153" t="s">
        <v>201</v>
      </c>
      <c r="E23" s="138" t="s">
        <v>145</v>
      </c>
      <c r="F23" s="138" t="s">
        <v>213</v>
      </c>
      <c r="G23" s="153" t="s">
        <v>53</v>
      </c>
      <c r="H23" s="157">
        <f>IF($V23="mobile",SUMIFS(Mobile_options!F:F,Mobile_options!$B:$B,$D23,Mobile_options!$E:$E,$G23),IF($V23="nonpoint",SUMIFS(Nonpoint_options!F:F,Nonpoint_options!$B:$B,$D23,Nonpoint_options!$E:$E,$G23),SUMIFS(Point_options!F:F,Point_options!$B:$B,$D23,Point_options!$E:$E,$G23)))</f>
        <v>1</v>
      </c>
      <c r="I23" s="154">
        <f>IF($V23="mobile",SUMIFS(Mobile_options!G:G,Mobile_options!$B:$B,$D23,Mobile_options!$E:$E,$G23),IF($V23="nonpoint",SUMIFS(Nonpoint_options!G:G,Nonpoint_options!$B:$B,$D23,Nonpoint_options!$E:$E,$G23),SUMIFS(Point_options!G:G,Point_options!$B:$B,$D23,Point_options!$E:$E,$G23)))</f>
        <v>0.03</v>
      </c>
      <c r="J23" s="158" t="str">
        <f>IF(V23="mobile",VLOOKUP($D23&amp;$G23,Mobile_options!$X$1:$Y$150,2,FALSE),IF(EmissRed_Shortlist!V23="nonpoint",VLOOKUP($D23&amp;$G23,Nonpoint_options!$W$1:$X$150,2,FALSE),VLOOKUP($D23&amp;$G23,Point_options!$U$1:$V$150,2,FALSE)))</f>
        <v>NA</v>
      </c>
      <c r="K23" s="159">
        <f>IF($V23="mobile",SUMIFS(Mobile_options!I:I,Mobile_options!$B:$B,$D23,Mobile_options!$E:$E,$G23),IF($V23="nonpoint",SUMIFS(Nonpoint_options!I:I,Nonpoint_options!$B:$B,$D23,Nonpoint_options!$E:$E,$G23),SUMIFS(Point_options!I:I,Point_options!$B:$B,$D23,Point_options!$E:$E,$G23)))</f>
        <v>9.2506949251990059E-2</v>
      </c>
      <c r="L23" s="168">
        <f>IF($V23="mobile",SUMIFS(Mobile_options!J:J,Mobile_options!$B:$B,$D23,Mobile_options!$E:$E,$G23),IF($V23="nonpoint",SUMIFS(Nonpoint_options!J:J,Nonpoint_options!$B:$B,$D23,Nonpoint_options!$E:$E,$G23),SUMIFS(Point_options!J:J,Point_options!$B:$B,$D23,Point_options!$E:$E,$G23)))</f>
        <v>4186.6810926247817</v>
      </c>
      <c r="M23" s="153" t="s">
        <v>250</v>
      </c>
      <c r="N23" s="153" t="s">
        <v>250</v>
      </c>
      <c r="O23" s="153" t="s">
        <v>250</v>
      </c>
      <c r="P23" s="153" t="s">
        <v>250</v>
      </c>
      <c r="Q23" s="153" t="s">
        <v>253</v>
      </c>
      <c r="R23" s="153" t="s">
        <v>253</v>
      </c>
      <c r="V23" s="186" t="s">
        <v>352</v>
      </c>
      <c r="W23" s="200">
        <f t="shared" si="0"/>
        <v>16</v>
      </c>
    </row>
    <row r="24" spans="1:23" s="152" customFormat="1" ht="24.2" x14ac:dyDescent="0.3">
      <c r="A24" s="160">
        <f>VLOOKUP(D24,'C-E_Shortlist'!$D$8:$Z$114,23,FALSE)</f>
        <v>58</v>
      </c>
      <c r="B24" s="160">
        <v>17</v>
      </c>
      <c r="C24" s="160" t="str">
        <f>VLOOKUP(D24,Shortlist_xref!$A$5:$C$77,2,FALSE)</f>
        <v>EmissRed</v>
      </c>
      <c r="D24" s="160" t="s">
        <v>355</v>
      </c>
      <c r="E24" s="114" t="s">
        <v>356</v>
      </c>
      <c r="F24" s="114" t="s">
        <v>357</v>
      </c>
      <c r="G24" s="160" t="s">
        <v>12</v>
      </c>
      <c r="H24" s="161">
        <f>IF($V24="mobile",SUMIFS(Mobile_options!F:F,Mobile_options!$B:$B,$D24,Mobile_options!$E:$E,$G24),IF($V24="nonpoint",SUMIFS(Nonpoint_options!F:F,Nonpoint_options!$B:$B,$D24,Nonpoint_options!$E:$E,$G24),SUMIFS(Point_options!F:F,Point_options!$B:$B,$D24,Point_options!$E:$E,$G24)))</f>
        <v>0.01</v>
      </c>
      <c r="I24" s="162">
        <f>IF($V24="mobile",SUMIFS(Mobile_options!G:G,Mobile_options!$B:$B,$D24,Mobile_options!$E:$E,$G24),IF($V24="nonpoint",SUMIFS(Nonpoint_options!G:G,Nonpoint_options!$B:$B,$D24,Nonpoint_options!$E:$E,$G24),SUMIFS(Point_options!G:G,Point_options!$B:$B,$D24,Point_options!$E:$E,$G24)))</f>
        <v>1</v>
      </c>
      <c r="J24" s="163">
        <f>IF(V24="mobile",VLOOKUP($D24&amp;$G24,Mobile_options!$X$1:$Y$150,2,FALSE),IF(EmissRed_Shortlist!V24="nonpoint",VLOOKUP($D24&amp;$G24,Nonpoint_options!$W$1:$X$150,2,FALSE),VLOOKUP($D24&amp;$G24,Point_options!$U$1:$V$150,2,FALSE)))</f>
        <v>53000</v>
      </c>
      <c r="K24" s="164">
        <f>IF($V24="mobile",SUMIFS(Mobile_options!I:I,Mobile_options!$B:$B,$D24,Mobile_options!$E:$E,$G24),IF($V24="nonpoint",SUMIFS(Nonpoint_options!I:I,Nonpoint_options!$B:$B,$D24,Nonpoint_options!$E:$E,$G24),SUMIFS(Point_options!I:I,Point_options!$B:$B,$D24,Point_options!$E:$E,$G24)))</f>
        <v>2.1120524581103076E-3</v>
      </c>
      <c r="L24" s="169">
        <f>IF($V24="mobile",SUMIFS(Mobile_options!J:J,Mobile_options!$B:$B,$D24,Mobile_options!$E:$E,$G24),IF($V24="nonpoint",SUMIFS(Nonpoint_options!J:J,Nonpoint_options!$B:$B,$D24,Nonpoint_options!$E:$E,$G24),SUMIFS(Point_options!J:J,Point_options!$B:$B,$D24,Point_options!$E:$E,$G24)))</f>
        <v>4078.8044186769512</v>
      </c>
      <c r="M24" s="160" t="s">
        <v>250</v>
      </c>
      <c r="N24" s="160" t="s">
        <v>250</v>
      </c>
      <c r="O24" s="160" t="s">
        <v>263</v>
      </c>
      <c r="P24" s="160" t="s">
        <v>250</v>
      </c>
      <c r="Q24" s="160" t="s">
        <v>253</v>
      </c>
      <c r="R24" s="160" t="s">
        <v>251</v>
      </c>
      <c r="V24" s="186" t="s">
        <v>351</v>
      </c>
      <c r="W24" s="200">
        <f t="shared" si="0"/>
        <v>17</v>
      </c>
    </row>
    <row r="25" spans="1:23" s="152" customFormat="1" x14ac:dyDescent="0.3">
      <c r="A25" s="160">
        <f>VLOOKUP(D25,'C-E_Shortlist'!$D$8:$Z$114,23,FALSE)</f>
        <v>74</v>
      </c>
      <c r="B25" s="160">
        <v>18</v>
      </c>
      <c r="C25" s="160" t="str">
        <f>VLOOKUP(D25,Shortlist_xref!$A$5:$C$77,2,FALSE)</f>
        <v>EmissRed</v>
      </c>
      <c r="D25" s="160" t="s">
        <v>311</v>
      </c>
      <c r="E25" s="114" t="s">
        <v>332</v>
      </c>
      <c r="F25" s="114" t="s">
        <v>97</v>
      </c>
      <c r="G25" s="160" t="s">
        <v>53</v>
      </c>
      <c r="H25" s="161">
        <f>IF($V25="mobile",SUMIFS(Mobile_options!F:F,Mobile_options!$B:$B,$D25,Mobile_options!$E:$E,$G25),IF($V25="nonpoint",SUMIFS(Nonpoint_options!F:F,Nonpoint_options!$B:$B,$D25,Nonpoint_options!$E:$E,$G25),SUMIFS(Point_options!F:F,Point_options!$B:$B,$D25,Point_options!$E:$E,$G25)))</f>
        <v>0.3</v>
      </c>
      <c r="I25" s="162">
        <f>IF($V25="mobile",SUMIFS(Mobile_options!G:G,Mobile_options!$B:$B,$D25,Mobile_options!$E:$E,$G25),IF($V25="nonpoint",SUMIFS(Nonpoint_options!G:G,Nonpoint_options!$B:$B,$D25,Nonpoint_options!$E:$E,$G25),SUMIFS(Point_options!G:G,Point_options!$B:$B,$D25,Point_options!$E:$E,$G25)))</f>
        <v>0.85</v>
      </c>
      <c r="J25" s="163" t="str">
        <f>IF(V25="mobile",VLOOKUP($D25&amp;$G25,Mobile_options!$X$1:$Y$150,2,FALSE),IF(EmissRed_Shortlist!V25="nonpoint",VLOOKUP($D25&amp;$G25,Nonpoint_options!$W$1:$X$150,2,FALSE),VLOOKUP($D25&amp;$G25,Point_options!$U$1:$V$150,2,FALSE)))</f>
        <v>NA</v>
      </c>
      <c r="K25" s="164">
        <f>IF($V25="mobile",SUMIFS(Mobile_options!I:I,Mobile_options!$B:$B,$D25,Mobile_options!$E:$E,$G25),IF($V25="nonpoint",SUMIFS(Nonpoint_options!I:I,Nonpoint_options!$B:$B,$D25,Nonpoint_options!$E:$E,$G25),SUMIFS(Point_options!I:I,Point_options!$B:$B,$D25,Point_options!$E:$E,$G25)))</f>
        <v>1.044399534018455E-2</v>
      </c>
      <c r="L25" s="169">
        <f>IF($V25="mobile",SUMIFS(Mobile_options!J:J,Mobile_options!$B:$B,$D25,Mobile_options!$E:$E,$G25),IF($V25="nonpoint",SUMIFS(Nonpoint_options!J:J,Nonpoint_options!$B:$B,$D25,Nonpoint_options!$E:$E,$G25),SUMIFS(Point_options!J:J,Point_options!$B:$B,$D25,Point_options!$E:$E,$G25)))</f>
        <v>4017.7334188848117</v>
      </c>
      <c r="M25" s="160" t="s">
        <v>250</v>
      </c>
      <c r="N25" s="160" t="s">
        <v>250</v>
      </c>
      <c r="O25" s="160" t="s">
        <v>263</v>
      </c>
      <c r="P25" s="160" t="s">
        <v>250</v>
      </c>
      <c r="Q25" s="160" t="s">
        <v>251</v>
      </c>
      <c r="R25" s="160" t="s">
        <v>253</v>
      </c>
      <c r="V25" s="186" t="s">
        <v>350</v>
      </c>
      <c r="W25" s="200">
        <f t="shared" si="0"/>
        <v>18</v>
      </c>
    </row>
    <row r="26" spans="1:23" s="152" customFormat="1" ht="193.55" x14ac:dyDescent="0.3">
      <c r="A26" s="153">
        <f>VLOOKUP(D26,'C-E_Shortlist'!$D$8:$Z$114,23,FALSE)</f>
        <v>64</v>
      </c>
      <c r="B26" s="153">
        <v>19</v>
      </c>
      <c r="C26" s="153" t="str">
        <f>VLOOKUP(D26,Shortlist_xref!$A$5:$C$77,2,FALSE)</f>
        <v>EmissRed</v>
      </c>
      <c r="D26" s="153" t="s">
        <v>13</v>
      </c>
      <c r="E26" s="138" t="s">
        <v>14</v>
      </c>
      <c r="F26" s="138" t="s">
        <v>15</v>
      </c>
      <c r="G26" s="153" t="s">
        <v>12</v>
      </c>
      <c r="H26" s="157">
        <f>IF($V26="mobile",SUMIFS(Mobile_options!F:F,Mobile_options!$B:$B,$D26,Mobile_options!$E:$E,$G26),IF($V26="nonpoint",SUMIFS(Nonpoint_options!F:F,Nonpoint_options!$B:$B,$D26,Nonpoint_options!$E:$E,$G26),SUMIFS(Point_options!F:F,Point_options!$B:$B,$D26,Point_options!$E:$E,$G26)))</f>
        <v>0.1</v>
      </c>
      <c r="I26" s="154">
        <f>IF($V26="mobile",SUMIFS(Mobile_options!G:G,Mobile_options!$B:$B,$D26,Mobile_options!$E:$E,$G26),IF($V26="nonpoint",SUMIFS(Nonpoint_options!G:G,Nonpoint_options!$B:$B,$D26,Nonpoint_options!$E:$E,$G26),SUMIFS(Point_options!G:G,Point_options!$B:$B,$D26,Point_options!$E:$E,$G26)))</f>
        <v>0.71799999999999997</v>
      </c>
      <c r="J26" s="158" t="str">
        <f>IF(V26="mobile",VLOOKUP($D26&amp;$G26,Mobile_options!$X$1:$Y$150,2,FALSE),IF(EmissRed_Shortlist!V26="nonpoint",VLOOKUP($D26&amp;$G26,Nonpoint_options!$W$1:$X$150,2,FALSE),VLOOKUP($D26&amp;$G26,Point_options!$U$1:$V$150,2,FALSE)))</f>
        <v xml:space="preserve">Cost effectiveness is variable and based on plant size: for a 300MW plant, total capital cost of $60.43 per kW; the fixed O&amp;M costs of $0.40 per kW per year; and variable O&amp;M costs of $0.090 mills per kWh.
The scaling factor for plants from 25MW (Capital Cost and Fixed O&amp;M only) = (300/capacity)^(0.359). </v>
      </c>
      <c r="K26" s="159">
        <f>IF($V26="mobile",SUMIFS(Mobile_options!I:I,Mobile_options!$B:$B,$D26,Mobile_options!$E:$E,$G26),IF($V26="nonpoint",SUMIFS(Nonpoint_options!I:I,Nonpoint_options!$B:$B,$D26,Nonpoint_options!$E:$E,$G26),SUMIFS(Point_options!I:I,Point_options!$B:$B,$D26,Point_options!$E:$E,$G26)))</f>
        <v>6.2039100031798411E-4</v>
      </c>
      <c r="L26" s="168">
        <f>IF($V26="mobile",SUMIFS(Mobile_options!J:J,Mobile_options!$B:$B,$D26,Mobile_options!$E:$E,$G26),IF($V26="nonpoint",SUMIFS(Nonpoint_options!J:J,Nonpoint_options!$B:$B,$D26,Nonpoint_options!$E:$E,$G26),SUMIFS(Point_options!J:J,Point_options!$B:$B,$D26,Point_options!$E:$E,$G26)))</f>
        <v>4015.8710515308344</v>
      </c>
      <c r="M26" s="153" t="s">
        <v>250</v>
      </c>
      <c r="N26" s="153" t="s">
        <v>250</v>
      </c>
      <c r="O26" s="153" t="s">
        <v>263</v>
      </c>
      <c r="P26" s="153" t="s">
        <v>250</v>
      </c>
      <c r="Q26" s="153" t="s">
        <v>251</v>
      </c>
      <c r="R26" s="153" t="s">
        <v>253</v>
      </c>
      <c r="V26" s="186" t="s">
        <v>351</v>
      </c>
      <c r="W26" s="200">
        <f t="shared" si="0"/>
        <v>19</v>
      </c>
    </row>
    <row r="27" spans="1:23" s="152" customFormat="1" x14ac:dyDescent="0.3">
      <c r="A27" s="153">
        <f>VLOOKUP(D27,'C-E_Shortlist'!$D$8:$Z$114,23,FALSE)</f>
        <v>73</v>
      </c>
      <c r="B27" s="153">
        <v>20</v>
      </c>
      <c r="C27" s="153" t="str">
        <f>VLOOKUP(D27,Shortlist_xref!$A$5:$C$77,2,FALSE)</f>
        <v>EmissRed</v>
      </c>
      <c r="D27" s="153" t="s">
        <v>190</v>
      </c>
      <c r="E27" s="138" t="s">
        <v>191</v>
      </c>
      <c r="F27" s="138" t="s">
        <v>192</v>
      </c>
      <c r="G27" s="153" t="s">
        <v>12</v>
      </c>
      <c r="H27" s="157">
        <f>IF($V27="mobile",SUMIFS(Mobile_options!F:F,Mobile_options!$B:$B,$D27,Mobile_options!$E:$E,$G27),IF($V27="nonpoint",SUMIFS(Nonpoint_options!F:F,Nonpoint_options!$B:$B,$D27,Nonpoint_options!$E:$E,$G27),SUMIFS(Point_options!F:F,Point_options!$B:$B,$D27,Point_options!$E:$E,$G27)))</f>
        <v>0.1</v>
      </c>
      <c r="I27" s="154">
        <f>IF($V27="mobile",SUMIFS(Mobile_options!G:G,Mobile_options!$B:$B,$D27,Mobile_options!$E:$E,$G27),IF($V27="nonpoint",SUMIFS(Nonpoint_options!G:G,Nonpoint_options!$B:$B,$D27,Nonpoint_options!$E:$E,$G27),SUMIFS(Point_options!G:G,Point_options!$B:$B,$D27,Point_options!$E:$E,$G27)))</f>
        <v>0.5</v>
      </c>
      <c r="J27" s="158" t="str">
        <f>IF(V27="mobile",VLOOKUP($D27&amp;$G27,Mobile_options!$X$1:$Y$150,2,FALSE),IF(EmissRed_Shortlist!V27="nonpoint",VLOOKUP($D27&amp;$G27,Nonpoint_options!$W$1:$X$150,2,FALSE),VLOOKUP($D27&amp;$G27,Point_options!$U$1:$V$150,2,FALSE)))</f>
        <v>NA</v>
      </c>
      <c r="K27" s="159">
        <f>IF($V27="mobile",SUMIFS(Mobile_options!I:I,Mobile_options!$B:$B,$D27,Mobile_options!$E:$E,$G27),IF($V27="nonpoint",SUMIFS(Nonpoint_options!I:I,Nonpoint_options!$B:$B,$D27,Nonpoint_options!$E:$E,$G27),SUMIFS(Point_options!I:I,Point_options!$B:$B,$D27,Point_options!$E:$E,$G27)))</f>
        <v>7.4572282514097213E-2</v>
      </c>
      <c r="L27" s="168">
        <f>IF($V27="mobile",SUMIFS(Mobile_options!J:J,Mobile_options!$B:$B,$D27,Mobile_options!$E:$E,$G27),IF($V27="nonpoint",SUMIFS(Nonpoint_options!J:J,Nonpoint_options!$B:$B,$D27,Nonpoint_options!$E:$E,$G27),SUMIFS(Point_options!J:J,Point_options!$B:$B,$D27,Point_options!$E:$E,$G27)))</f>
        <v>3998.0616442079613</v>
      </c>
      <c r="M27" s="153" t="s">
        <v>250</v>
      </c>
      <c r="N27" s="153" t="s">
        <v>250</v>
      </c>
      <c r="O27" s="153" t="s">
        <v>250</v>
      </c>
      <c r="P27" s="153" t="s">
        <v>250</v>
      </c>
      <c r="Q27" s="153" t="s">
        <v>253</v>
      </c>
      <c r="R27" s="153" t="s">
        <v>251</v>
      </c>
      <c r="V27" s="186" t="s">
        <v>352</v>
      </c>
      <c r="W27" s="200">
        <f t="shared" si="0"/>
        <v>20</v>
      </c>
    </row>
    <row r="28" spans="1:23" s="152" customFormat="1" x14ac:dyDescent="0.3">
      <c r="A28" s="153">
        <f>VLOOKUP(D28,'C-E_Shortlist'!$D$8:$Z$114,23,FALSE)</f>
        <v>53</v>
      </c>
      <c r="B28" s="153">
        <v>21</v>
      </c>
      <c r="C28" s="153" t="str">
        <f>VLOOKUP(D28,Shortlist_xref!$A$5:$C$77,2,FALSE)</f>
        <v>EmissRed</v>
      </c>
      <c r="D28" s="153" t="s">
        <v>203</v>
      </c>
      <c r="E28" s="138" t="s">
        <v>214</v>
      </c>
      <c r="F28" s="138" t="s">
        <v>215</v>
      </c>
      <c r="G28" s="153" t="s">
        <v>12</v>
      </c>
      <c r="H28" s="157">
        <f>IF($V28="mobile",SUMIFS(Mobile_options!F:F,Mobile_options!$B:$B,$D28,Mobile_options!$E:$E,$G28),IF($V28="nonpoint",SUMIFS(Nonpoint_options!F:F,Nonpoint_options!$B:$B,$D28,Nonpoint_options!$E:$E,$G28),SUMIFS(Point_options!F:F,Point_options!$B:$B,$D28,Point_options!$E:$E,$G28)))</f>
        <v>0.5</v>
      </c>
      <c r="I28" s="154">
        <f>IF($V28="mobile",SUMIFS(Mobile_options!G:G,Mobile_options!$B:$B,$D28,Mobile_options!$E:$E,$G28),IF($V28="nonpoint",SUMIFS(Nonpoint_options!G:G,Nonpoint_options!$B:$B,$D28,Nonpoint_options!$E:$E,$G28),SUMIFS(Point_options!G:G,Point_options!$B:$B,$D28,Point_options!$E:$E,$G28)))</f>
        <v>7.4999999999999997E-2</v>
      </c>
      <c r="J28" s="158" t="str">
        <f>IF(V28="mobile",VLOOKUP($D28&amp;$G28,Mobile_options!$X$1:$Y$150,2,FALSE),IF(EmissRed_Shortlist!V28="nonpoint",VLOOKUP($D28&amp;$G28,Nonpoint_options!$W$1:$X$150,2,FALSE),VLOOKUP($D28&amp;$G28,Point_options!$U$1:$V$150,2,FALSE)))</f>
        <v>$50,000/ton NOx</v>
      </c>
      <c r="K28" s="159">
        <f>IF($V28="mobile",SUMIFS(Mobile_options!I:I,Mobile_options!$B:$B,$D28,Mobile_options!$E:$E,$G28),IF($V28="nonpoint",SUMIFS(Nonpoint_options!I:I,Nonpoint_options!$B:$B,$D28,Nonpoint_options!$E:$E,$G28),SUMIFS(Point_options!I:I,Point_options!$B:$B,$D28,Point_options!$E:$E,$G28)))</f>
        <v>9.054585578834265E-2</v>
      </c>
      <c r="L28" s="168">
        <f>IF($V28="mobile",SUMIFS(Mobile_options!J:J,Mobile_options!$B:$B,$D28,Mobile_options!$E:$E,$G28),IF($V28="nonpoint",SUMIFS(Nonpoint_options!J:J,Nonpoint_options!$B:$B,$D28,Nonpoint_options!$E:$E,$G28),SUMIFS(Point_options!J:J,Point_options!$B:$B,$D28,Point_options!$E:$E,$G28)))</f>
        <v>3640.8424906491618</v>
      </c>
      <c r="M28" s="153" t="s">
        <v>250</v>
      </c>
      <c r="N28" s="153" t="s">
        <v>250</v>
      </c>
      <c r="O28" s="153" t="s">
        <v>250</v>
      </c>
      <c r="P28" s="153" t="s">
        <v>250</v>
      </c>
      <c r="Q28" s="153" t="s">
        <v>253</v>
      </c>
      <c r="R28" s="153" t="s">
        <v>251</v>
      </c>
      <c r="V28" s="186" t="s">
        <v>352</v>
      </c>
      <c r="W28" s="200">
        <f t="shared" si="0"/>
        <v>21</v>
      </c>
    </row>
    <row r="29" spans="1:23" s="152" customFormat="1" x14ac:dyDescent="0.3">
      <c r="A29" s="153">
        <f>VLOOKUP(D29,'C-E_Shortlist'!$D$8:$Z$114,23,FALSE)</f>
        <v>20</v>
      </c>
      <c r="B29" s="153">
        <v>22</v>
      </c>
      <c r="C29" s="153" t="str">
        <f>VLOOKUP(D29,Shortlist_xref!$A$5:$C$77,2,FALSE)</f>
        <v>EmissRed</v>
      </c>
      <c r="D29" s="153" t="s">
        <v>46</v>
      </c>
      <c r="E29" s="138" t="s">
        <v>45</v>
      </c>
      <c r="F29" s="138" t="s">
        <v>47</v>
      </c>
      <c r="G29" s="153" t="s">
        <v>12</v>
      </c>
      <c r="H29" s="157">
        <f>IF($V29="mobile",SUMIFS(Mobile_options!F:F,Mobile_options!$B:$B,$D29,Mobile_options!$E:$E,$G29),IF($V29="nonpoint",SUMIFS(Nonpoint_options!F:F,Nonpoint_options!$B:$B,$D29,Nonpoint_options!$E:$E,$G29),SUMIFS(Point_options!F:F,Point_options!$B:$B,$D29,Point_options!$E:$E,$G29)))</f>
        <v>0.1</v>
      </c>
      <c r="I29" s="154">
        <f>IF($V29="mobile",SUMIFS(Mobile_options!G:G,Mobile_options!$B:$B,$D29,Mobile_options!$E:$E,$G29),IF($V29="nonpoint",SUMIFS(Nonpoint_options!G:G,Nonpoint_options!$B:$B,$D29,Nonpoint_options!$E:$E,$G29),SUMIFS(Point_options!G:G,Point_options!$B:$B,$D29,Point_options!$E:$E,$G29)))</f>
        <v>0.87</v>
      </c>
      <c r="J29" s="158">
        <f>IF(V29="mobile",VLOOKUP($D29&amp;$G29,Mobile_options!$X$1:$Y$150,2,FALSE),IF(EmissRed_Shortlist!V29="nonpoint",VLOOKUP($D29&amp;$G29,Nonpoint_options!$W$1:$X$150,2,FALSE),VLOOKUP($D29&amp;$G29,Point_options!$U$1:$V$150,2,FALSE)))</f>
        <v>610</v>
      </c>
      <c r="K29" s="159">
        <f>IF($V29="mobile",SUMIFS(Mobile_options!I:I,Mobile_options!$B:$B,$D29,Mobile_options!$E:$E,$G29),IF($V29="nonpoint",SUMIFS(Nonpoint_options!I:I,Nonpoint_options!$B:$B,$D29,Nonpoint_options!$E:$E,$G29),SUMIFS(Point_options!I:I,Point_options!$B:$B,$D29,Point_options!$E:$E,$G29)))</f>
        <v>2.3590383063756028E-3</v>
      </c>
      <c r="L29" s="168">
        <f>IF($V29="mobile",SUMIFS(Mobile_options!J:J,Mobile_options!$B:$B,$D29,Mobile_options!$E:$E,$G29),IF($V29="nonpoint",SUMIFS(Nonpoint_options!J:J,Nonpoint_options!$B:$B,$D29,Nonpoint_options!$E:$E,$G29),SUMIFS(Point_options!J:J,Point_options!$B:$B,$D29,Point_options!$E:$E,$G29)))</f>
        <v>3551.0816500004703</v>
      </c>
      <c r="M29" s="153" t="s">
        <v>250</v>
      </c>
      <c r="N29" s="153" t="s">
        <v>250</v>
      </c>
      <c r="O29" s="153" t="s">
        <v>250</v>
      </c>
      <c r="P29" s="153" t="s">
        <v>250</v>
      </c>
      <c r="Q29" s="153" t="s">
        <v>251</v>
      </c>
      <c r="R29" s="153" t="s">
        <v>253</v>
      </c>
      <c r="V29" s="186" t="s">
        <v>351</v>
      </c>
      <c r="W29" s="200">
        <f t="shared" si="0"/>
        <v>22</v>
      </c>
    </row>
    <row r="30" spans="1:23" s="152" customFormat="1" x14ac:dyDescent="0.3">
      <c r="A30" s="153">
        <f>VLOOKUP(D30,'C-E_Shortlist'!$D$8:$Z$114,23,FALSE)</f>
        <v>34</v>
      </c>
      <c r="B30" s="153">
        <v>23</v>
      </c>
      <c r="C30" s="153" t="str">
        <f>VLOOKUP(D30,Shortlist_xref!$A$5:$C$77,2,FALSE)</f>
        <v>EmissRed</v>
      </c>
      <c r="D30" s="153" t="s">
        <v>49</v>
      </c>
      <c r="E30" s="138" t="s">
        <v>45</v>
      </c>
      <c r="F30" s="138" t="s">
        <v>21</v>
      </c>
      <c r="G30" s="153" t="s">
        <v>12</v>
      </c>
      <c r="H30" s="157">
        <f>IF($V30="mobile",SUMIFS(Mobile_options!F:F,Mobile_options!$B:$B,$D30,Mobile_options!$E:$E,$G30),IF($V30="nonpoint",SUMIFS(Nonpoint_options!F:F,Nonpoint_options!$B:$B,$D30,Nonpoint_options!$E:$E,$G30),SUMIFS(Point_options!F:F,Point_options!$B:$B,$D30,Point_options!$E:$E,$G30)))</f>
        <v>0.1</v>
      </c>
      <c r="I30" s="154">
        <f>IF($V30="mobile",SUMIFS(Mobile_options!G:G,Mobile_options!$B:$B,$D30,Mobile_options!$E:$E,$G30),IF($V30="nonpoint",SUMIFS(Nonpoint_options!G:G,Nonpoint_options!$B:$B,$D30,Nonpoint_options!$E:$E,$G30),SUMIFS(Point_options!G:G,Point_options!$B:$B,$D30,Point_options!$E:$E,$G30)))</f>
        <v>0.85</v>
      </c>
      <c r="J30" s="158">
        <f>IF(V30="mobile",VLOOKUP($D30&amp;$G30,Mobile_options!$X$1:$Y$150,2,FALSE),IF(EmissRed_Shortlist!V30="nonpoint",VLOOKUP($D30&amp;$G30,Nonpoint_options!$W$1:$X$150,2,FALSE),VLOOKUP($D30&amp;$G30,Point_options!$U$1:$V$150,2,FALSE)))</f>
        <v>3222</v>
      </c>
      <c r="K30" s="159">
        <f>IF($V30="mobile",SUMIFS(Mobile_options!I:I,Mobile_options!$B:$B,$D30,Mobile_options!$E:$E,$G30),IF($V30="nonpoint",SUMIFS(Nonpoint_options!I:I,Nonpoint_options!$B:$B,$D30,Nonpoint_options!$E:$E,$G30),SUMIFS(Point_options!I:I,Point_options!$B:$B,$D30,Point_options!$E:$E,$G30)))</f>
        <v>2.3619648756063221E-3</v>
      </c>
      <c r="L30" s="168">
        <f>IF($V30="mobile",SUMIFS(Mobile_options!J:J,Mobile_options!$B:$B,$D30,Mobile_options!$E:$E,$G30),IF($V30="nonpoint",SUMIFS(Nonpoint_options!J:J,Nonpoint_options!$B:$B,$D30,Nonpoint_options!$E:$E,$G30),SUMIFS(Point_options!J:J,Point_options!$B:$B,$D30,Point_options!$E:$E,$G30)))</f>
        <v>3470.5990072747491</v>
      </c>
      <c r="M30" s="153" t="s">
        <v>250</v>
      </c>
      <c r="N30" s="153" t="s">
        <v>250</v>
      </c>
      <c r="O30" s="153" t="s">
        <v>250</v>
      </c>
      <c r="P30" s="153" t="s">
        <v>250</v>
      </c>
      <c r="Q30" s="153" t="s">
        <v>251</v>
      </c>
      <c r="R30" s="153" t="s">
        <v>253</v>
      </c>
      <c r="V30" s="186" t="s">
        <v>351</v>
      </c>
      <c r="W30" s="200">
        <f t="shared" si="0"/>
        <v>23</v>
      </c>
    </row>
    <row r="31" spans="1:23" s="152" customFormat="1" ht="24.2" x14ac:dyDescent="0.3">
      <c r="A31" s="153">
        <f>VLOOKUP(D31,'C-E_Shortlist'!$D$8:$Z$114,23,FALSE)</f>
        <v>47</v>
      </c>
      <c r="B31" s="153">
        <v>24</v>
      </c>
      <c r="C31" s="153" t="str">
        <f>VLOOKUP(D31,Shortlist_xref!$A$5:$C$77,2,FALSE)</f>
        <v>R-Select</v>
      </c>
      <c r="D31" s="153" t="s">
        <v>106</v>
      </c>
      <c r="E31" s="138" t="s">
        <v>107</v>
      </c>
      <c r="F31" s="138" t="s">
        <v>108</v>
      </c>
      <c r="G31" s="153" t="s">
        <v>53</v>
      </c>
      <c r="H31" s="157">
        <f>IF($V31="mobile",SUMIFS(Mobile_options!F:F,Mobile_options!$B:$B,$D31,Mobile_options!$E:$E,$G31),IF($V31="nonpoint",SUMIFS(Nonpoint_options!F:F,Nonpoint_options!$B:$B,$D31,Nonpoint_options!$E:$E,$G31),SUMIFS(Point_options!F:F,Point_options!$B:$B,$D31,Point_options!$E:$E,$G31)))</f>
        <v>0.1</v>
      </c>
      <c r="I31" s="154">
        <f>IF($V31="mobile",SUMIFS(Mobile_options!G:G,Mobile_options!$B:$B,$D31,Mobile_options!$E:$E,$G31),IF($V31="nonpoint",SUMIFS(Nonpoint_options!G:G,Nonpoint_options!$B:$B,$D31,Nonpoint_options!$E:$E,$G31),SUMIFS(Point_options!G:G,Point_options!$B:$B,$D31,Point_options!$E:$E,$G31)))</f>
        <v>0.4</v>
      </c>
      <c r="J31" s="158">
        <f>IF(V31="mobile",VLOOKUP($D31&amp;$G31,Mobile_options!$X$1:$Y$150,2,FALSE),IF(EmissRed_Shortlist!V31="nonpoint",VLOOKUP($D31&amp;$G31,Nonpoint_options!$W$1:$X$150,2,FALSE),VLOOKUP($D31&amp;$G31,Point_options!$U$1:$V$150,2,FALSE)))</f>
        <v>20664</v>
      </c>
      <c r="K31" s="159">
        <f>IF($V31="mobile",SUMIFS(Mobile_options!I:I,Mobile_options!$B:$B,$D31,Mobile_options!$E:$E,$G31),IF($V31="nonpoint",SUMIFS(Nonpoint_options!I:I,Nonpoint_options!$B:$B,$D31,Nonpoint_options!$E:$E,$G31),SUMIFS(Point_options!I:I,Point_options!$B:$B,$D31,Point_options!$E:$E,$G31)))</f>
        <v>5.6495140941927639E-2</v>
      </c>
      <c r="L31" s="168">
        <f>IF($V31="mobile",SUMIFS(Mobile_options!J:J,Mobile_options!$B:$B,$D31,Mobile_options!$E:$E,$G31),IF($V31="nonpoint",SUMIFS(Nonpoint_options!J:J,Nonpoint_options!$B:$B,$D31,Nonpoint_options!$E:$E,$G31),SUMIFS(Point_options!J:J,Point_options!$B:$B,$D31,Point_options!$E:$E,$G31)))</f>
        <v>3409.144074317961</v>
      </c>
      <c r="M31" s="153" t="s">
        <v>250</v>
      </c>
      <c r="N31" s="153" t="s">
        <v>250</v>
      </c>
      <c r="O31" s="153" t="s">
        <v>263</v>
      </c>
      <c r="P31" s="153" t="s">
        <v>250</v>
      </c>
      <c r="Q31" s="153" t="s">
        <v>253</v>
      </c>
      <c r="R31" s="153" t="s">
        <v>253</v>
      </c>
      <c r="V31" s="186" t="s">
        <v>350</v>
      </c>
      <c r="W31" s="200">
        <f t="shared" si="0"/>
        <v>24</v>
      </c>
    </row>
    <row r="32" spans="1:23" s="152" customFormat="1" ht="36.299999999999997" x14ac:dyDescent="0.3">
      <c r="A32" s="153">
        <f>VLOOKUP(D32,'C-E_Shortlist'!$D$8:$Z$114,23,FALSE)</f>
        <v>49</v>
      </c>
      <c r="B32" s="153">
        <v>25</v>
      </c>
      <c r="C32" s="153" t="str">
        <f>VLOOKUP(D32,Shortlist_xref!$A$5:$C$77,2,FALSE)</f>
        <v>EmissRed</v>
      </c>
      <c r="D32" s="153" t="s">
        <v>163</v>
      </c>
      <c r="E32" s="138" t="s">
        <v>164</v>
      </c>
      <c r="F32" s="138" t="s">
        <v>165</v>
      </c>
      <c r="G32" s="153" t="s">
        <v>12</v>
      </c>
      <c r="H32" s="157">
        <f>IF($V32="mobile",SUMIFS(Mobile_options!F:F,Mobile_options!$B:$B,$D32,Mobile_options!$E:$E,$G32),IF($V32="nonpoint",SUMIFS(Nonpoint_options!F:F,Nonpoint_options!$B:$B,$D32,Nonpoint_options!$E:$E,$G32),SUMIFS(Point_options!F:F,Point_options!$B:$B,$D32,Point_options!$E:$E,$G32)))</f>
        <v>0.1</v>
      </c>
      <c r="I32" s="154">
        <f>IF($V32="mobile",SUMIFS(Mobile_options!G:G,Mobile_options!$B:$B,$D32,Mobile_options!$E:$E,$G32),IF($V32="nonpoint",SUMIFS(Nonpoint_options!G:G,Nonpoint_options!$B:$B,$D32,Nonpoint_options!$E:$E,$G32),SUMIFS(Point_options!G:G,Point_options!$B:$B,$D32,Point_options!$E:$E,$G32)))</f>
        <v>1</v>
      </c>
      <c r="J32" s="158" t="str">
        <f>IF(V32="mobile",VLOOKUP($D32&amp;$G32,Mobile_options!$X$1:$Y$150,2,FALSE),IF(EmissRed_Shortlist!V32="nonpoint",VLOOKUP($D32&amp;$G32,Nonpoint_options!$W$1:$X$150,2,FALSE),VLOOKUP($D32&amp;$G32,Point_options!$U$1:$V$150,2,FALSE)))</f>
        <v>$16,000/ton NOx+VOC</v>
      </c>
      <c r="K32" s="159">
        <f>IF($V32="mobile",SUMIFS(Mobile_options!I:I,Mobile_options!$B:$B,$D32,Mobile_options!$E:$E,$G32),IF($V32="nonpoint",SUMIFS(Nonpoint_options!I:I,Nonpoint_options!$B:$B,$D32,Nonpoint_options!$E:$E,$G32),SUMIFS(Point_options!I:I,Point_options!$B:$B,$D32,Point_options!$E:$E,$G32)))</f>
        <v>2.8683074717640807E-2</v>
      </c>
      <c r="L32" s="168">
        <f>IF($V32="mobile",SUMIFS(Mobile_options!J:J,Mobile_options!$B:$B,$D32,Mobile_options!$E:$E,$G32),IF($V32="nonpoint",SUMIFS(Nonpoint_options!J:J,Nonpoint_options!$B:$B,$D32,Nonpoint_options!$E:$E,$G32),SUMIFS(Point_options!J:J,Point_options!$B:$B,$D32,Point_options!$E:$E,$G32)))</f>
        <v>3075.5851101881517</v>
      </c>
      <c r="M32" s="153" t="s">
        <v>250</v>
      </c>
      <c r="N32" s="153" t="s">
        <v>250</v>
      </c>
      <c r="O32" s="153" t="s">
        <v>250</v>
      </c>
      <c r="P32" s="153" t="s">
        <v>250</v>
      </c>
      <c r="Q32" s="153" t="s">
        <v>253</v>
      </c>
      <c r="R32" s="153" t="s">
        <v>251</v>
      </c>
      <c r="V32" s="186" t="s">
        <v>352</v>
      </c>
      <c r="W32" s="200">
        <f t="shared" si="0"/>
        <v>25</v>
      </c>
    </row>
    <row r="33" spans="1:23" s="152" customFormat="1" ht="36.299999999999997" x14ac:dyDescent="0.3">
      <c r="A33" s="153">
        <f>VLOOKUP(D33,'C-E_Shortlist'!$D$8:$Z$114,23,FALSE)</f>
        <v>48</v>
      </c>
      <c r="B33" s="153">
        <v>26</v>
      </c>
      <c r="C33" s="153" t="str">
        <f>VLOOKUP(D33,Shortlist_xref!$A$5:$C$77,2,FALSE)</f>
        <v>EmissRed</v>
      </c>
      <c r="D33" s="153" t="s">
        <v>166</v>
      </c>
      <c r="E33" s="138" t="s">
        <v>167</v>
      </c>
      <c r="F33" s="138" t="s">
        <v>168</v>
      </c>
      <c r="G33" s="153" t="s">
        <v>12</v>
      </c>
      <c r="H33" s="157">
        <f>IF($V33="mobile",SUMIFS(Mobile_options!F:F,Mobile_options!$B:$B,$D33,Mobile_options!$E:$E,$G33),IF($V33="nonpoint",SUMIFS(Nonpoint_options!F:F,Nonpoint_options!$B:$B,$D33,Nonpoint_options!$E:$E,$G33),SUMIFS(Point_options!F:F,Point_options!$B:$B,$D33,Point_options!$E:$E,$G33)))</f>
        <v>0.1</v>
      </c>
      <c r="I33" s="154">
        <f>IF($V33="mobile",SUMIFS(Mobile_options!G:G,Mobile_options!$B:$B,$D33,Mobile_options!$E:$E,$G33),IF($V33="nonpoint",SUMIFS(Nonpoint_options!G:G,Nonpoint_options!$B:$B,$D33,Nonpoint_options!$E:$E,$G33),SUMIFS(Point_options!G:G,Point_options!$B:$B,$D33,Point_options!$E:$E,$G33)))</f>
        <v>0.95</v>
      </c>
      <c r="J33" s="158" t="str">
        <f>IF(V33="mobile",VLOOKUP($D33&amp;$G33,Mobile_options!$X$1:$Y$150,2,FALSE),IF(EmissRed_Shortlist!V33="nonpoint",VLOOKUP($D33&amp;$G33,Nonpoint_options!$W$1:$X$150,2,FALSE),VLOOKUP($D33&amp;$G33,Point_options!$U$1:$V$150,2,FALSE)))</f>
        <v>$12,750/ton NOx</v>
      </c>
      <c r="K33" s="159">
        <f>IF($V33="mobile",SUMIFS(Mobile_options!I:I,Mobile_options!$B:$B,$D33,Mobile_options!$E:$E,$G33),IF($V33="nonpoint",SUMIFS(Nonpoint_options!I:I,Nonpoint_options!$B:$B,$D33,Nonpoint_options!$E:$E,$G33),SUMIFS(Point_options!I:I,Point_options!$B:$B,$D33,Point_options!$E:$E,$G33)))</f>
        <v>2.8683074717640807E-2</v>
      </c>
      <c r="L33" s="168">
        <f>IF($V33="mobile",SUMIFS(Mobile_options!J:J,Mobile_options!$B:$B,$D33,Mobile_options!$E:$E,$G33),IF($V33="nonpoint",SUMIFS(Nonpoint_options!J:J,Nonpoint_options!$B:$B,$D33,Nonpoint_options!$E:$E,$G33),SUMIFS(Point_options!J:J,Point_options!$B:$B,$D33,Point_options!$E:$E,$G33)))</f>
        <v>2921.8058546787438</v>
      </c>
      <c r="M33" s="153" t="s">
        <v>250</v>
      </c>
      <c r="N33" s="153" t="s">
        <v>250</v>
      </c>
      <c r="O33" s="153" t="s">
        <v>250</v>
      </c>
      <c r="P33" s="153" t="s">
        <v>250</v>
      </c>
      <c r="Q33" s="153" t="s">
        <v>251</v>
      </c>
      <c r="R33" s="153" t="s">
        <v>251</v>
      </c>
      <c r="V33" s="186" t="s">
        <v>352</v>
      </c>
      <c r="W33" s="200">
        <f t="shared" si="0"/>
        <v>26</v>
      </c>
    </row>
    <row r="34" spans="1:23" s="152" customFormat="1" x14ac:dyDescent="0.3">
      <c r="A34" s="153">
        <f>VLOOKUP(D34,'C-E_Shortlist'!$D$8:$Z$114,23,FALSE)</f>
        <v>66</v>
      </c>
      <c r="B34" s="153">
        <v>27</v>
      </c>
      <c r="C34" s="153" t="str">
        <f>VLOOKUP(D34,Shortlist_xref!$A$5:$C$77,2,FALSE)</f>
        <v>EmissRed</v>
      </c>
      <c r="D34" s="153" t="s">
        <v>202</v>
      </c>
      <c r="E34" s="138" t="s">
        <v>360</v>
      </c>
      <c r="F34" s="138" t="s">
        <v>361</v>
      </c>
      <c r="G34" s="153" t="s">
        <v>12</v>
      </c>
      <c r="H34" s="157">
        <f>IF($V34="mobile",SUMIFS(Mobile_options!F:F,Mobile_options!$B:$B,$D34,Mobile_options!$E:$E,$G34),IF($V34="nonpoint",SUMIFS(Nonpoint_options!F:F,Nonpoint_options!$B:$B,$D34,Nonpoint_options!$E:$E,$G34),SUMIFS(Point_options!F:F,Point_options!$B:$B,$D34,Point_options!$E:$E,$G34)))</f>
        <v>0.5</v>
      </c>
      <c r="I34" s="154">
        <f>IF($V34="mobile",SUMIFS(Mobile_options!G:G,Mobile_options!$B:$B,$D34,Mobile_options!$E:$E,$G34),IF($V34="nonpoint",SUMIFS(Nonpoint_options!G:G,Nonpoint_options!$B:$B,$D34,Nonpoint_options!$E:$E,$G34),SUMIFS(Point_options!G:G,Point_options!$B:$B,$D34,Point_options!$E:$E,$G34)))</f>
        <v>6.8750000000000006E-2</v>
      </c>
      <c r="J34" s="158" t="str">
        <f>IF(V34="mobile",VLOOKUP($D34&amp;$G34,Mobile_options!$X$1:$Y$150,2,FALSE),IF(EmissRed_Shortlist!V34="nonpoint",VLOOKUP($D34&amp;$G34,Nonpoint_options!$W$1:$X$150,2,FALSE),VLOOKUP($D34&amp;$G34,Point_options!$U$1:$V$150,2,FALSE)))</f>
        <v>NA</v>
      </c>
      <c r="K34" s="159">
        <f>IF($V34="mobile",SUMIFS(Mobile_options!I:I,Mobile_options!$B:$B,$D34,Mobile_options!$E:$E,$G34),IF($V34="nonpoint",SUMIFS(Nonpoint_options!I:I,Nonpoint_options!$B:$B,$D34,Nonpoint_options!$E:$E,$G34),SUMIFS(Point_options!I:I,Point_options!$B:$B,$D34,Point_options!$E:$E,$G34)))</f>
        <v>7.2076661475179771E-2</v>
      </c>
      <c r="L34" s="168">
        <f>IF($V34="mobile",SUMIFS(Mobile_options!J:J,Mobile_options!$B:$B,$D34,Mobile_options!$E:$E,$G34),IF($V34="nonpoint",SUMIFS(Nonpoint_options!J:J,Nonpoint_options!$B:$B,$D34,Nonpoint_options!$E:$E,$G34),SUMIFS(Point_options!J:J,Point_options!$B:$B,$D34,Point_options!$E:$E,$G34)))</f>
        <v>2656.6810295367018</v>
      </c>
      <c r="M34" s="92" t="s">
        <v>250</v>
      </c>
      <c r="N34" s="92" t="s">
        <v>250</v>
      </c>
      <c r="O34" s="92" t="s">
        <v>250</v>
      </c>
      <c r="P34" s="92" t="s">
        <v>250</v>
      </c>
      <c r="Q34" s="92" t="s">
        <v>253</v>
      </c>
      <c r="R34" s="92" t="s">
        <v>251</v>
      </c>
      <c r="V34" s="186" t="s">
        <v>352</v>
      </c>
      <c r="W34" s="200">
        <f t="shared" ref="W34" si="1">B34</f>
        <v>27</v>
      </c>
    </row>
    <row r="35" spans="1:23" s="152" customFormat="1" ht="193.55" x14ac:dyDescent="0.3">
      <c r="A35" s="153">
        <f>VLOOKUP(D35,'C-E_Shortlist'!$D$8:$Z$114,23,FALSE)</f>
        <v>63</v>
      </c>
      <c r="B35" s="153">
        <v>28</v>
      </c>
      <c r="C35" s="153" t="str">
        <f>VLOOKUP(D35,Shortlist_xref!$A$5:$C$77,2,FALSE)</f>
        <v>EmissRed</v>
      </c>
      <c r="D35" s="153" t="s">
        <v>16</v>
      </c>
      <c r="E35" s="138" t="s">
        <v>17</v>
      </c>
      <c r="F35" s="138" t="s">
        <v>18</v>
      </c>
      <c r="G35" s="153" t="s">
        <v>12</v>
      </c>
      <c r="H35" s="157">
        <f>IF($V35="mobile",SUMIFS(Mobile_options!F:F,Mobile_options!$B:$B,$D35,Mobile_options!$E:$E,$G35),IF($V35="nonpoint",SUMIFS(Nonpoint_options!F:F,Nonpoint_options!$B:$B,$D35,Nonpoint_options!$E:$E,$G35),SUMIFS(Point_options!F:F,Point_options!$B:$B,$D35,Point_options!$E:$E,$G35)))</f>
        <v>0.1</v>
      </c>
      <c r="I35" s="154">
        <f>IF($V35="mobile",SUMIFS(Mobile_options!G:G,Mobile_options!$B:$B,$D35,Mobile_options!$E:$E,$G35),IF($V35="nonpoint",SUMIFS(Nonpoint_options!G:G,Nonpoint_options!$B:$B,$D35,Nonpoint_options!$E:$E,$G35),SUMIFS(Point_options!G:G,Point_options!$B:$B,$D35,Point_options!$E:$E,$G35)))</f>
        <v>0.56799999999999995</v>
      </c>
      <c r="J35" s="158" t="str">
        <f>IF(V35="mobile",VLOOKUP($D35&amp;$G35,Mobile_options!$X$1:$Y$150,2,FALSE),IF(EmissRed_Shortlist!V35="nonpoint",VLOOKUP($D35&amp;$G35,Nonpoint_options!$W$1:$X$150,2,FALSE),VLOOKUP($D35&amp;$G35,Point_options!$U$1:$V$150,2,FALSE)))</f>
        <v xml:space="preserve">Cost effectiveness is variable and based on plant size: for a 300MW plant, total capital cost of $44.58 per kW; the fixed O&amp;M costs of $0.30 per kW per year; and variable O&amp;M costs of $0.070 mills per kWh.  The scaling factor for plants from 25MW (Capital Cost and Fixed O&amp;M only) = (300/capacity)^(0.359). </v>
      </c>
      <c r="K35" s="159">
        <f>IF($V35="mobile",SUMIFS(Mobile_options!I:I,Mobile_options!$B:$B,$D35,Mobile_options!$E:$E,$G35),IF($V35="nonpoint",SUMIFS(Nonpoint_options!I:I,Nonpoint_options!$B:$B,$D35,Nonpoint_options!$E:$E,$G35),SUMIFS(Point_options!I:I,Point_options!$B:$B,$D35,Point_options!$E:$E,$G35)))</f>
        <v>5.3343464640204599E-4</v>
      </c>
      <c r="L35" s="168">
        <f>IF($V35="mobile",SUMIFS(Mobile_options!J:J,Mobile_options!$B:$B,$D35,Mobile_options!$E:$E,$G35),IF($V35="nonpoint",SUMIFS(Nonpoint_options!J:J,Nonpoint_options!$B:$B,$D35,Nonpoint_options!$E:$E,$G35),SUMIFS(Point_options!J:J,Point_options!$B:$B,$D35,Point_options!$E:$E,$G35)))</f>
        <v>2592.9205498092315</v>
      </c>
      <c r="M35" s="153" t="s">
        <v>250</v>
      </c>
      <c r="N35" s="153" t="s">
        <v>250</v>
      </c>
      <c r="O35" s="153" t="s">
        <v>263</v>
      </c>
      <c r="P35" s="153" t="s">
        <v>250</v>
      </c>
      <c r="Q35" s="153" t="s">
        <v>251</v>
      </c>
      <c r="R35" s="153" t="s">
        <v>253</v>
      </c>
      <c r="V35" s="186" t="s">
        <v>351</v>
      </c>
      <c r="W35" s="200">
        <f t="shared" si="0"/>
        <v>28</v>
      </c>
    </row>
    <row r="36" spans="1:23" s="152" customFormat="1" x14ac:dyDescent="0.3">
      <c r="A36" s="153">
        <f>VLOOKUP(D36,'C-E_Shortlist'!$D$8:$Z$114,23,FALSE)</f>
        <v>54</v>
      </c>
      <c r="B36" s="153">
        <v>29</v>
      </c>
      <c r="C36" s="153" t="str">
        <f>VLOOKUP(D36,Shortlist_xref!$A$5:$C$77,2,FALSE)</f>
        <v>EmissRed</v>
      </c>
      <c r="D36" s="153" t="s">
        <v>156</v>
      </c>
      <c r="E36" s="138" t="s">
        <v>157</v>
      </c>
      <c r="F36" s="138" t="s">
        <v>158</v>
      </c>
      <c r="G36" s="153" t="s">
        <v>12</v>
      </c>
      <c r="H36" s="157">
        <f>IF($V36="mobile",SUMIFS(Mobile_options!F:F,Mobile_options!$B:$B,$D36,Mobile_options!$E:$E,$G36),IF($V36="nonpoint",SUMIFS(Nonpoint_options!F:F,Nonpoint_options!$B:$B,$D36,Nonpoint_options!$E:$E,$G36),SUMIFS(Point_options!F:F,Point_options!$B:$B,$D36,Point_options!$E:$E,$G36)))</f>
        <v>0.1</v>
      </c>
      <c r="I36" s="154">
        <f>IF($V36="mobile",SUMIFS(Mobile_options!G:G,Mobile_options!$B:$B,$D36,Mobile_options!$E:$E,$G36),IF($V36="nonpoint",SUMIFS(Nonpoint_options!G:G,Nonpoint_options!$B:$B,$D36,Nonpoint_options!$E:$E,$G36),SUMIFS(Point_options!G:G,Point_options!$B:$B,$D36,Point_options!$E:$E,$G36)))</f>
        <v>0.31</v>
      </c>
      <c r="J36" s="158" t="str">
        <f>IF(V36="mobile",VLOOKUP($D36&amp;$G36,Mobile_options!$X$1:$Y$150,2,FALSE),IF(EmissRed_Shortlist!V36="nonpoint",VLOOKUP($D36&amp;$G36,Nonpoint_options!$W$1:$X$150,2,FALSE),VLOOKUP($D36&amp;$G36,Point_options!$U$1:$V$150,2,FALSE)))</f>
        <v>$80,506 /ton NOx</v>
      </c>
      <c r="K36" s="159">
        <f>IF($V36="mobile",SUMIFS(Mobile_options!I:I,Mobile_options!$B:$B,$D36,Mobile_options!$E:$E,$G36),IF($V36="nonpoint",SUMIFS(Nonpoint_options!I:I,Nonpoint_options!$B:$B,$D36,Nonpoint_options!$E:$E,$G36),SUMIFS(Point_options!I:I,Point_options!$B:$B,$D36,Point_options!$E:$E,$G36)))</f>
        <v>7.2076661475179771E-2</v>
      </c>
      <c r="L36" s="168">
        <f>IF($V36="mobile",SUMIFS(Mobile_options!J:J,Mobile_options!$B:$B,$D36,Mobile_options!$E:$E,$G36),IF($V36="nonpoint",SUMIFS(Nonpoint_options!J:J,Nonpoint_options!$B:$B,$D36,Nonpoint_options!$E:$E,$G36),SUMIFS(Point_options!J:J,Point_options!$B:$B,$D36,Point_options!$E:$E,$G36)))</f>
        <v>2395.8432557276437</v>
      </c>
      <c r="M36" s="153" t="s">
        <v>250</v>
      </c>
      <c r="N36" s="153" t="s">
        <v>250</v>
      </c>
      <c r="O36" s="153" t="s">
        <v>250</v>
      </c>
      <c r="P36" s="153" t="s">
        <v>250</v>
      </c>
      <c r="Q36" s="153" t="s">
        <v>253</v>
      </c>
      <c r="R36" s="153" t="s">
        <v>251</v>
      </c>
      <c r="V36" s="186" t="s">
        <v>352</v>
      </c>
      <c r="W36" s="200">
        <f t="shared" si="0"/>
        <v>29</v>
      </c>
    </row>
    <row r="37" spans="1:23" s="152" customFormat="1" x14ac:dyDescent="0.3">
      <c r="A37" s="160">
        <f>VLOOKUP(D37,'C-E_Shortlist'!$D$8:$Z$114,23,FALSE)</f>
        <v>27</v>
      </c>
      <c r="B37" s="160">
        <v>30</v>
      </c>
      <c r="C37" s="160" t="str">
        <f>VLOOKUP(D37,Shortlist_xref!$A$5:$C$77,2,FALSE)</f>
        <v>EmissRed</v>
      </c>
      <c r="D37" s="160" t="s">
        <v>314</v>
      </c>
      <c r="E37" s="114" t="s">
        <v>20</v>
      </c>
      <c r="F37" s="114" t="s">
        <v>11</v>
      </c>
      <c r="G37" s="160" t="s">
        <v>12</v>
      </c>
      <c r="H37" s="161">
        <f>IF($V37="mobile",SUMIFS(Mobile_options!F:F,Mobile_options!$B:$B,$D37,Mobile_options!$E:$E,$G37),IF($V37="nonpoint",SUMIFS(Nonpoint_options!F:F,Nonpoint_options!$B:$B,$D37,Nonpoint_options!$E:$E,$G37),SUMIFS(Point_options!F:F,Point_options!$B:$B,$D37,Point_options!$E:$E,$G37)))</f>
        <v>0.1</v>
      </c>
      <c r="I37" s="162">
        <f>IF($V37="mobile",SUMIFS(Mobile_options!G:G,Mobile_options!$B:$B,$D37,Mobile_options!$E:$E,$G37),IF($V37="nonpoint",SUMIFS(Nonpoint_options!G:G,Nonpoint_options!$B:$B,$D37,Nonpoint_options!$E:$E,$G37),SUMIFS(Point_options!G:G,Point_options!$B:$B,$D37,Point_options!$E:$E,$G37)))</f>
        <v>0.375</v>
      </c>
      <c r="J37" s="163">
        <f>IF(V37="mobile",VLOOKUP($D37&amp;$G37,Mobile_options!$X$1:$Y$150,2,FALSE),IF(EmissRed_Shortlist!V37="nonpoint",VLOOKUP($D37&amp;$G37,Nonpoint_options!$W$1:$X$150,2,FALSE),VLOOKUP($D37&amp;$G37,Point_options!$U$1:$V$150,2,FALSE)))</f>
        <v>1450</v>
      </c>
      <c r="K37" s="164">
        <f>IF($V37="mobile",SUMIFS(Mobile_options!I:I,Mobile_options!$B:$B,$D37,Mobile_options!$E:$E,$G37),IF($V37="nonpoint",SUMIFS(Nonpoint_options!I:I,Nonpoint_options!$B:$B,$D37,Nonpoint_options!$E:$E,$G37),SUMIFS(Point_options!I:I,Point_options!$B:$B,$D37,Point_options!$E:$E,$G37)))</f>
        <v>6.2039100031798411E-4</v>
      </c>
      <c r="L37" s="169">
        <f>IF($V37="mobile",SUMIFS(Mobile_options!J:J,Mobile_options!$B:$B,$D37,Mobile_options!$E:$E,$G37),IF($V37="nonpoint",SUMIFS(Nonpoint_options!J:J,Nonpoint_options!$B:$B,$D37,Nonpoint_options!$E:$E,$G37),SUMIFS(Point_options!J:J,Point_options!$B:$B,$D37,Point_options!$E:$E,$G37)))</f>
        <v>2097.4256884736251</v>
      </c>
      <c r="M37" s="160" t="s">
        <v>250</v>
      </c>
      <c r="N37" s="160" t="s">
        <v>250</v>
      </c>
      <c r="O37" s="160" t="s">
        <v>263</v>
      </c>
      <c r="P37" s="160" t="s">
        <v>250</v>
      </c>
      <c r="Q37" s="160" t="s">
        <v>251</v>
      </c>
      <c r="R37" s="160" t="s">
        <v>251</v>
      </c>
      <c r="V37" s="186" t="s">
        <v>351</v>
      </c>
      <c r="W37" s="200">
        <f t="shared" si="0"/>
        <v>30</v>
      </c>
    </row>
    <row r="38" spans="1:23" s="152" customFormat="1" ht="36.299999999999997" x14ac:dyDescent="0.3">
      <c r="A38" s="153">
        <f>VLOOKUP(D38,'C-E_Shortlist'!$D$8:$Z$114,23,FALSE)</f>
        <v>26</v>
      </c>
      <c r="B38" s="153">
        <v>31</v>
      </c>
      <c r="C38" s="153" t="str">
        <f>VLOOKUP(D38,Shortlist_xref!$A$5:$C$77,2,FALSE)</f>
        <v>EmissRed</v>
      </c>
      <c r="D38" s="153" t="s">
        <v>9</v>
      </c>
      <c r="E38" s="138" t="s">
        <v>10</v>
      </c>
      <c r="F38" s="138" t="s">
        <v>11</v>
      </c>
      <c r="G38" s="153" t="s">
        <v>12</v>
      </c>
      <c r="H38" s="157">
        <f>IF($V38="mobile",SUMIFS(Mobile_options!F:F,Mobile_options!$B:$B,$D38,Mobile_options!$E:$E,$G38),IF($V38="nonpoint",SUMIFS(Nonpoint_options!F:F,Nonpoint_options!$B:$B,$D38,Nonpoint_options!$E:$E,$G38),SUMIFS(Point_options!F:F,Point_options!$B:$B,$D38,Point_options!$E:$E,$G38)))</f>
        <v>0.1</v>
      </c>
      <c r="I38" s="154">
        <f>IF($V38="mobile",SUMIFS(Mobile_options!G:G,Mobile_options!$B:$B,$D38,Mobile_options!$E:$E,$G38),IF($V38="nonpoint",SUMIFS(Nonpoint_options!G:G,Nonpoint_options!$B:$B,$D38,Nonpoint_options!$E:$E,$G38),SUMIFS(Point_options!G:G,Point_options!$B:$B,$D38,Point_options!$E:$E,$G38)))</f>
        <v>0.4</v>
      </c>
      <c r="J38" s="158">
        <f>IF(V38="mobile",VLOOKUP($D38&amp;$G38,Mobile_options!$X$1:$Y$150,2,FALSE),IF(EmissRed_Shortlist!V38="nonpoint",VLOOKUP($D38&amp;$G38,Nonpoint_options!$W$1:$X$150,2,FALSE),VLOOKUP($D38&amp;$G38,Point_options!$U$1:$V$150,2,FALSE)))</f>
        <v>1410</v>
      </c>
      <c r="K38" s="159">
        <f>IF($V38="mobile",SUMIFS(Mobile_options!I:I,Mobile_options!$B:$B,$D38,Mobile_options!$E:$E,$G38),IF($V38="nonpoint",SUMIFS(Nonpoint_options!I:I,Nonpoint_options!$B:$B,$D38,Nonpoint_options!$E:$E,$G38),SUMIFS(Point_options!I:I,Point_options!$B:$B,$D38,Point_options!$E:$E,$G38)))</f>
        <v>5.7142175062893847E-4</v>
      </c>
      <c r="L38" s="168">
        <f>IF($V38="mobile",SUMIFS(Mobile_options!J:J,Mobile_options!$B:$B,$D38,Mobile_options!$E:$E,$G38),IF($V38="nonpoint",SUMIFS(Nonpoint_options!J:J,Nonpoint_options!$B:$B,$D38,Nonpoint_options!$E:$E,$G38),SUMIFS(Point_options!J:J,Point_options!$B:$B,$D38,Point_options!$E:$E,$G38)))</f>
        <v>2063.2579638288003</v>
      </c>
      <c r="M38" s="153" t="s">
        <v>250</v>
      </c>
      <c r="N38" s="153" t="s">
        <v>250</v>
      </c>
      <c r="O38" s="153" t="s">
        <v>263</v>
      </c>
      <c r="P38" s="153" t="s">
        <v>250</v>
      </c>
      <c r="Q38" s="153" t="s">
        <v>251</v>
      </c>
      <c r="R38" s="153" t="s">
        <v>253</v>
      </c>
      <c r="V38" s="186" t="s">
        <v>351</v>
      </c>
      <c r="W38" s="200">
        <f t="shared" si="0"/>
        <v>31</v>
      </c>
    </row>
    <row r="39" spans="1:23" s="152" customFormat="1" ht="193.55" x14ac:dyDescent="0.3">
      <c r="A39" s="153">
        <f>VLOOKUP(D39,'C-E_Shortlist'!$D$8:$Z$114,23,FALSE)</f>
        <v>65</v>
      </c>
      <c r="B39" s="153">
        <v>32</v>
      </c>
      <c r="C39" s="153" t="str">
        <f>VLOOKUP(D39,Shortlist_xref!$A$5:$C$77,2,FALSE)</f>
        <v>EmissRed</v>
      </c>
      <c r="D39" s="153" t="s">
        <v>22</v>
      </c>
      <c r="E39" s="138" t="s">
        <v>23</v>
      </c>
      <c r="F39" s="138" t="s">
        <v>15</v>
      </c>
      <c r="G39" s="153" t="s">
        <v>12</v>
      </c>
      <c r="H39" s="157">
        <f>IF($V39="mobile",SUMIFS(Mobile_options!F:F,Mobile_options!$B:$B,$D39,Mobile_options!$E:$E,$G39),IF($V39="nonpoint",SUMIFS(Nonpoint_options!F:F,Nonpoint_options!$B:$B,$D39,Nonpoint_options!$E:$E,$G39),SUMIFS(Point_options!F:F,Point_options!$B:$B,$D39,Point_options!$E:$E,$G39)))</f>
        <v>0.1</v>
      </c>
      <c r="I39" s="154">
        <f>IF($V39="mobile",SUMIFS(Mobile_options!G:G,Mobile_options!$B:$B,$D39,Mobile_options!$E:$E,$G39),IF($V39="nonpoint",SUMIFS(Nonpoint_options!G:G,Nonpoint_options!$B:$B,$D39,Nonpoint_options!$E:$E,$G39),SUMIFS(Point_options!G:G,Point_options!$B:$B,$D39,Point_options!$E:$E,$G39)))</f>
        <v>0.72</v>
      </c>
      <c r="J39" s="158" t="str">
        <f>IF(V39="mobile",VLOOKUP($D39&amp;$G39,Mobile_options!$X$1:$Y$150,2,FALSE),IF(EmissRed_Shortlist!V39="nonpoint",VLOOKUP($D39&amp;$G39,Nonpoint_options!$W$1:$X$150,2,FALSE),VLOOKUP($D39&amp;$G39,Point_options!$U$1:$V$150,2,FALSE)))</f>
        <v xml:space="preserve">Cost effectiveness is variable and based on plant size: for a 300MW plant, total capital cost of $60.43 per kW; the fixed O&amp;M costs of $0.40 per kW per year; and variable O&amp;M costs of $0.090 mills per kWh.
The scaling factor for plants from 25MW (Capital Cost and Fixed O&amp;M only) = (300/capacity)^(0.359). </v>
      </c>
      <c r="K39" s="159">
        <f>IF($V39="mobile",SUMIFS(Mobile_options!I:I,Mobile_options!$B:$B,$D39,Mobile_options!$E:$E,$G39),IF($V39="nonpoint",SUMIFS(Nonpoint_options!I:I,Nonpoint_options!$B:$B,$D39,Nonpoint_options!$E:$E,$G39),SUMIFS(Point_options!I:I,Point_options!$B:$B,$D39,Point_options!$E:$E,$G39)))</f>
        <v>5.2982762858947926E-4</v>
      </c>
      <c r="L39" s="168">
        <f>IF($V39="mobile",SUMIFS(Mobile_options!J:J,Mobile_options!$B:$B,$D39,Mobile_options!$E:$E,$G39),IF($V39="nonpoint",SUMIFS(Nonpoint_options!J:J,Nonpoint_options!$B:$B,$D39,Nonpoint_options!$E:$E,$G39),SUMIFS(Point_options!J:J,Point_options!$B:$B,$D39,Point_options!$E:$E,$G39)))</f>
        <v>2037.0016677916803</v>
      </c>
      <c r="M39" s="153" t="s">
        <v>250</v>
      </c>
      <c r="N39" s="153" t="s">
        <v>250</v>
      </c>
      <c r="O39" s="153" t="s">
        <v>263</v>
      </c>
      <c r="P39" s="153" t="s">
        <v>250</v>
      </c>
      <c r="Q39" s="153" t="s">
        <v>251</v>
      </c>
      <c r="R39" s="153" t="s">
        <v>253</v>
      </c>
      <c r="V39" s="186" t="s">
        <v>351</v>
      </c>
      <c r="W39" s="200">
        <f t="shared" si="0"/>
        <v>32</v>
      </c>
    </row>
    <row r="40" spans="1:23" s="152" customFormat="1" x14ac:dyDescent="0.3">
      <c r="A40" s="153">
        <f>VLOOKUP(D40,'C-E_Shortlist'!$D$8:$Z$114,23,FALSE)</f>
        <v>1</v>
      </c>
      <c r="B40" s="153">
        <v>33</v>
      </c>
      <c r="C40" s="153" t="str">
        <f>VLOOKUP(D40,Shortlist_xref!$A$5:$C$77,2,FALSE)</f>
        <v>EmissRed</v>
      </c>
      <c r="D40" s="153" t="s">
        <v>175</v>
      </c>
      <c r="E40" s="138" t="s">
        <v>174</v>
      </c>
      <c r="F40" s="138" t="s">
        <v>176</v>
      </c>
      <c r="G40" s="153" t="s">
        <v>12</v>
      </c>
      <c r="H40" s="157">
        <f>IF($V40="mobile",SUMIFS(Mobile_options!F:F,Mobile_options!$B:$B,$D40,Mobile_options!$E:$E,$G40),IF($V40="nonpoint",SUMIFS(Nonpoint_options!F:F,Nonpoint_options!$B:$B,$D40,Nonpoint_options!$E:$E,$G40),SUMIFS(Point_options!F:F,Point_options!$B:$B,$D40,Point_options!$E:$E,$G40)))</f>
        <v>0.5</v>
      </c>
      <c r="I40" s="154">
        <f>IF($V40="mobile",SUMIFS(Mobile_options!G:G,Mobile_options!$B:$B,$D40,Mobile_options!$E:$E,$G40),IF($V40="nonpoint",SUMIFS(Nonpoint_options!G:G,Nonpoint_options!$B:$B,$D40,Nonpoint_options!$E:$E,$G40),SUMIFS(Point_options!G:G,Point_options!$B:$B,$D40,Point_options!$E:$E,$G40)))</f>
        <v>0.5</v>
      </c>
      <c r="J40" s="158" t="str">
        <f>IF(V40="mobile",VLOOKUP($D40&amp;$G40,Mobile_options!$X$1:$Y$150,2,FALSE),IF(EmissRed_Shortlist!V40="nonpoint",VLOOKUP($D40&amp;$G40,Nonpoint_options!$W$1:$X$150,2,FALSE),VLOOKUP($D40&amp;$G40,Point_options!$U$1:$V$150,2,FALSE)))</f>
        <v>$0</v>
      </c>
      <c r="K40" s="159">
        <f>IF($V40="mobile",SUMIFS(Mobile_options!I:I,Mobile_options!$B:$B,$D40,Mobile_options!$E:$E,$G40),IF($V40="nonpoint",SUMIFS(Nonpoint_options!I:I,Nonpoint_options!$B:$B,$D40,Nonpoint_options!$E:$E,$G40),SUMIFS(Point_options!I:I,Point_options!$B:$B,$D40,Point_options!$E:$E,$G40)))</f>
        <v>6.9764231393412597E-3</v>
      </c>
      <c r="L40" s="168">
        <f>IF($V40="mobile",SUMIFS(Mobile_options!J:J,Mobile_options!$B:$B,$D40,Mobile_options!$E:$E,$G40),IF($V40="nonpoint",SUMIFS(Nonpoint_options!J:J,Nonpoint_options!$B:$B,$D40,Nonpoint_options!$E:$E,$G40),SUMIFS(Point_options!J:J,Point_options!$B:$B,$D40,Point_options!$E:$E,$G40)))</f>
        <v>1870.1432239178428</v>
      </c>
      <c r="M40" s="153" t="s">
        <v>250</v>
      </c>
      <c r="N40" s="153" t="s">
        <v>250</v>
      </c>
      <c r="O40" s="153" t="s">
        <v>250</v>
      </c>
      <c r="P40" s="153" t="s">
        <v>250</v>
      </c>
      <c r="Q40" s="153" t="s">
        <v>251</v>
      </c>
      <c r="R40" s="153" t="s">
        <v>253</v>
      </c>
      <c r="V40" s="186" t="s">
        <v>352</v>
      </c>
      <c r="W40" s="200">
        <f t="shared" si="0"/>
        <v>33</v>
      </c>
    </row>
    <row r="41" spans="1:23" s="152" customFormat="1" x14ac:dyDescent="0.3">
      <c r="A41" s="153">
        <f>VLOOKUP(D41,'C-E_Shortlist'!$D$8:$Z$114,23,FALSE)</f>
        <v>21</v>
      </c>
      <c r="B41" s="153">
        <v>34</v>
      </c>
      <c r="C41" s="153" t="str">
        <f>VLOOKUP(D41,Shortlist_xref!$A$5:$C$77,2,FALSE)</f>
        <v>EmissRed</v>
      </c>
      <c r="D41" s="153" t="s">
        <v>48</v>
      </c>
      <c r="E41" s="138" t="s">
        <v>45</v>
      </c>
      <c r="F41" s="138" t="s">
        <v>44</v>
      </c>
      <c r="G41" s="153" t="s">
        <v>12</v>
      </c>
      <c r="H41" s="157">
        <f>IF($V41="mobile",SUMIFS(Mobile_options!F:F,Mobile_options!$B:$B,$D41,Mobile_options!$E:$E,$G41),IF($V41="nonpoint",SUMIFS(Nonpoint_options!F:F,Nonpoint_options!$B:$B,$D41,Nonpoint_options!$E:$E,$G41),SUMIFS(Point_options!F:F,Point_options!$B:$B,$D41,Point_options!$E:$E,$G41)))</f>
        <v>0.1</v>
      </c>
      <c r="I41" s="154">
        <f>IF($V41="mobile",SUMIFS(Mobile_options!G:G,Mobile_options!$B:$B,$D41,Mobile_options!$E:$E,$G41),IF($V41="nonpoint",SUMIFS(Nonpoint_options!G:G,Nonpoint_options!$B:$B,$D41,Nonpoint_options!$E:$E,$G41),SUMIFS(Point_options!G:G,Point_options!$B:$B,$D41,Point_options!$E:$E,$G41)))</f>
        <v>0.9</v>
      </c>
      <c r="J41" s="158">
        <f>IF(V41="mobile",VLOOKUP($D41&amp;$G41,Mobile_options!$X$1:$Y$150,2,FALSE),IF(EmissRed_Shortlist!V41="nonpoint",VLOOKUP($D41&amp;$G41,Nonpoint_options!$W$1:$X$150,2,FALSE),VLOOKUP($D41&amp;$G41,Point_options!$U$1:$V$150,2,FALSE)))</f>
        <v>732</v>
      </c>
      <c r="K41" s="159">
        <f>IF($V41="mobile",SUMIFS(Mobile_options!I:I,Mobile_options!$B:$B,$D41,Mobile_options!$E:$E,$G41),IF($V41="nonpoint",SUMIFS(Nonpoint_options!I:I,Nonpoint_options!$B:$B,$D41,Nonpoint_options!$E:$E,$G41),SUMIFS(Point_options!I:I,Point_options!$B:$B,$D41,Point_options!$E:$E,$G41)))</f>
        <v>6.7001375711072796E-4</v>
      </c>
      <c r="L41" s="168">
        <f>IF($V41="mobile",SUMIFS(Mobile_options!J:J,Mobile_options!$B:$B,$D41,Mobile_options!$E:$E,$G41),IF($V41="nonpoint",SUMIFS(Nonpoint_options!J:J,Nonpoint_options!$B:$B,$D41,Nonpoint_options!$E:$E,$G41),SUMIFS(Point_options!J:J,Point_options!$B:$B,$D41,Point_options!$E:$E,$G41)))</f>
        <v>1770.3215667501513</v>
      </c>
      <c r="M41" s="153" t="s">
        <v>250</v>
      </c>
      <c r="N41" s="153" t="s">
        <v>250</v>
      </c>
      <c r="O41" s="153" t="s">
        <v>250</v>
      </c>
      <c r="P41" s="153" t="s">
        <v>250</v>
      </c>
      <c r="Q41" s="153" t="s">
        <v>251</v>
      </c>
      <c r="R41" s="153" t="s">
        <v>253</v>
      </c>
      <c r="V41" s="186" t="s">
        <v>351</v>
      </c>
      <c r="W41" s="200">
        <f t="shared" si="0"/>
        <v>34</v>
      </c>
    </row>
    <row r="42" spans="1:23" s="152" customFormat="1" x14ac:dyDescent="0.3">
      <c r="A42" s="153">
        <f>VLOOKUP(D42,'C-E_Shortlist'!$D$8:$Z$114,23,FALSE)</f>
        <v>52</v>
      </c>
      <c r="B42" s="153">
        <v>35</v>
      </c>
      <c r="C42" s="153" t="str">
        <f>VLOOKUP(D42,Shortlist_xref!$A$5:$C$77,2,FALSE)</f>
        <v>EmissRed</v>
      </c>
      <c r="D42" s="153" t="s">
        <v>204</v>
      </c>
      <c r="E42" s="138" t="s">
        <v>216</v>
      </c>
      <c r="F42" s="138" t="s">
        <v>217</v>
      </c>
      <c r="G42" s="153" t="s">
        <v>12</v>
      </c>
      <c r="H42" s="157">
        <f>IF($V42="mobile",SUMIFS(Mobile_options!F:F,Mobile_options!$B:$B,$D42,Mobile_options!$E:$E,$G42),IF($V42="nonpoint",SUMIFS(Nonpoint_options!F:F,Nonpoint_options!$B:$B,$D42,Nonpoint_options!$E:$E,$G42),SUMIFS(Point_options!F:F,Point_options!$B:$B,$D42,Point_options!$E:$E,$G42)))</f>
        <v>0.1</v>
      </c>
      <c r="I42" s="154">
        <f>IF($V42="mobile",SUMIFS(Mobile_options!G:G,Mobile_options!$B:$B,$D42,Mobile_options!$E:$E,$G42),IF($V42="nonpoint",SUMIFS(Nonpoint_options!G:G,Nonpoint_options!$B:$B,$D42,Nonpoint_options!$E:$E,$G42),SUMIFS(Point_options!G:G,Point_options!$B:$B,$D42,Point_options!$E:$E,$G42)))</f>
        <v>0.27</v>
      </c>
      <c r="J42" s="158" t="str">
        <f>IF(V42="mobile",VLOOKUP($D42&amp;$G42,Mobile_options!$X$1:$Y$150,2,FALSE),IF(EmissRed_Shortlist!V42="nonpoint",VLOOKUP($D42&amp;$G42,Nonpoint_options!$W$1:$X$150,2,FALSE),VLOOKUP($D42&amp;$G42,Point_options!$U$1:$V$150,2,FALSE)))</f>
        <v>$17,000/ ton NOx</v>
      </c>
      <c r="K42" s="159">
        <f>IF($V42="mobile",SUMIFS(Mobile_options!I:I,Mobile_options!$B:$B,$D42,Mobile_options!$E:$E,$G42),IF($V42="nonpoint",SUMIFS(Nonpoint_options!I:I,Nonpoint_options!$B:$B,$D42,Nonpoint_options!$E:$E,$G42),SUMIFS(Point_options!I:I,Point_options!$B:$B,$D42,Point_options!$E:$E,$G42)))</f>
        <v>5.7096414449347391E-2</v>
      </c>
      <c r="L42" s="168">
        <f>IF($V42="mobile",SUMIFS(Mobile_options!J:J,Mobile_options!$B:$B,$D42,Mobile_options!$E:$E,$G42),IF($V42="nonpoint",SUMIFS(Nonpoint_options!J:J,Nonpoint_options!$B:$B,$D42,Nonpoint_options!$E:$E,$G42),SUMIFS(Point_options!J:J,Point_options!$B:$B,$D42,Point_options!$E:$E,$G42)))</f>
        <v>1653.0068216409393</v>
      </c>
      <c r="M42" s="153" t="s">
        <v>250</v>
      </c>
      <c r="N42" s="153" t="s">
        <v>250</v>
      </c>
      <c r="O42" s="153" t="s">
        <v>250</v>
      </c>
      <c r="P42" s="153" t="s">
        <v>250</v>
      </c>
      <c r="Q42" s="153" t="s">
        <v>251</v>
      </c>
      <c r="R42" s="153" t="s">
        <v>251</v>
      </c>
      <c r="V42" s="186" t="s">
        <v>352</v>
      </c>
      <c r="W42" s="200">
        <f t="shared" si="0"/>
        <v>35</v>
      </c>
    </row>
    <row r="43" spans="1:23" s="152" customFormat="1" x14ac:dyDescent="0.3">
      <c r="A43" s="153">
        <f>VLOOKUP(D43,'C-E_Shortlist'!$D$8:$Z$114,23,FALSE)</f>
        <v>5</v>
      </c>
      <c r="B43" s="153">
        <v>36</v>
      </c>
      <c r="C43" s="153" t="str">
        <f>VLOOKUP(D43,Shortlist_xref!$A$5:$C$77,2,FALSE)</f>
        <v>C-E</v>
      </c>
      <c r="D43" s="153" t="s">
        <v>93</v>
      </c>
      <c r="E43" s="138" t="s">
        <v>94</v>
      </c>
      <c r="F43" s="138" t="s">
        <v>95</v>
      </c>
      <c r="G43" s="153" t="s">
        <v>53</v>
      </c>
      <c r="H43" s="157">
        <f>IF($V43="mobile",SUMIFS(Mobile_options!F:F,Mobile_options!$B:$B,$D43,Mobile_options!$E:$E,$G43),IF($V43="nonpoint",SUMIFS(Nonpoint_options!F:F,Nonpoint_options!$B:$B,$D43,Nonpoint_options!$E:$E,$G43),SUMIFS(Point_options!F:F,Point_options!$B:$B,$D43,Point_options!$E:$E,$G43)))</f>
        <v>0.1</v>
      </c>
      <c r="I43" s="154">
        <f>IF($V43="mobile",SUMIFS(Mobile_options!G:G,Mobile_options!$B:$B,$D43,Mobile_options!$E:$E,$G43),IF($V43="nonpoint",SUMIFS(Nonpoint_options!G:G,Nonpoint_options!$B:$B,$D43,Nonpoint_options!$E:$E,$G43),SUMIFS(Point_options!G:G,Point_options!$B:$B,$D43,Point_options!$E:$E,$G43)))</f>
        <v>1</v>
      </c>
      <c r="J43" s="158">
        <f>IF(V43="mobile",VLOOKUP($D43&amp;$G43,Mobile_options!$X$1:$Y$150,2,FALSE),IF(EmissRed_Shortlist!V43="nonpoint",VLOOKUP($D43&amp;$G43,Nonpoint_options!$W$1:$X$150,2,FALSE),VLOOKUP($D43&amp;$G43,Point_options!$U$1:$V$150,2,FALSE)))</f>
        <v>0</v>
      </c>
      <c r="K43" s="159">
        <f>IF($V43="mobile",SUMIFS(Mobile_options!I:I,Mobile_options!$B:$B,$D43,Mobile_options!$E:$E,$G43),IF($V43="nonpoint",SUMIFS(Nonpoint_options!I:I,Nonpoint_options!$B:$B,$D43,Nonpoint_options!$E:$E,$G43),SUMIFS(Point_options!I:I,Point_options!$B:$B,$D43,Point_options!$E:$E,$G43)))</f>
        <v>1.0386347172294294E-2</v>
      </c>
      <c r="L43" s="168">
        <f>IF($V43="mobile",SUMIFS(Mobile_options!J:J,Mobile_options!$B:$B,$D43,Mobile_options!$E:$E,$G43),IF($V43="nonpoint",SUMIFS(Nonpoint_options!J:J,Nonpoint_options!$B:$B,$D43,Nonpoint_options!$E:$E,$G43),SUMIFS(Point_options!J:J,Point_options!$B:$B,$D43,Point_options!$E:$E,$G43)))</f>
        <v>1566.8849269990001</v>
      </c>
      <c r="M43" s="153" t="s">
        <v>250</v>
      </c>
      <c r="N43" s="153" t="s">
        <v>250</v>
      </c>
      <c r="O43" s="153" t="s">
        <v>263</v>
      </c>
      <c r="P43" s="153" t="s">
        <v>250</v>
      </c>
      <c r="Q43" s="153" t="s">
        <v>251</v>
      </c>
      <c r="R43" s="153" t="s">
        <v>253</v>
      </c>
      <c r="V43" s="186" t="s">
        <v>350</v>
      </c>
      <c r="W43" s="200">
        <f t="shared" si="0"/>
        <v>36</v>
      </c>
    </row>
    <row r="44" spans="1:23" s="152" customFormat="1" ht="24.2" x14ac:dyDescent="0.3">
      <c r="A44" s="153">
        <f>VLOOKUP(D44,'C-E_Shortlist'!$D$8:$Z$114,23,FALSE)</f>
        <v>4</v>
      </c>
      <c r="B44" s="153">
        <v>37</v>
      </c>
      <c r="C44" s="153" t="str">
        <f>VLOOKUP(D44,Shortlist_xref!$A$5:$C$77,2,FALSE)</f>
        <v>C-E</v>
      </c>
      <c r="D44" s="153" t="s">
        <v>78</v>
      </c>
      <c r="E44" s="138" t="s">
        <v>79</v>
      </c>
      <c r="F44" s="138" t="s">
        <v>80</v>
      </c>
      <c r="G44" s="153" t="s">
        <v>12</v>
      </c>
      <c r="H44" s="157">
        <f>IF($V44="mobile",SUMIFS(Mobile_options!F:F,Mobile_options!$B:$B,$D44,Mobile_options!$E:$E,$G44),IF($V44="nonpoint",SUMIFS(Nonpoint_options!F:F,Nonpoint_options!$B:$B,$D44,Nonpoint_options!$E:$E,$G44),SUMIFS(Point_options!F:F,Point_options!$B:$B,$D44,Point_options!$E:$E,$G44)))</f>
        <v>0.1</v>
      </c>
      <c r="I44" s="154">
        <f>IF($V44="mobile",SUMIFS(Mobile_options!G:G,Mobile_options!$B:$B,$D44,Mobile_options!$E:$E,$G44),IF($V44="nonpoint",SUMIFS(Nonpoint_options!G:G,Nonpoint_options!$B:$B,$D44,Nonpoint_options!$E:$E,$G44),SUMIFS(Point_options!G:G,Point_options!$B:$B,$D44,Point_options!$E:$E,$G44)))</f>
        <v>0.45</v>
      </c>
      <c r="J44" s="158">
        <f>IF(V44="mobile",VLOOKUP($D44&amp;$G44,Mobile_options!$X$1:$Y$150,2,FALSE),IF(EmissRed_Shortlist!V44="nonpoint",VLOOKUP($D44&amp;$G44,Nonpoint_options!$W$1:$X$150,2,FALSE),VLOOKUP($D44&amp;$G44,Point_options!$U$1:$V$150,2,FALSE)))</f>
        <v>0</v>
      </c>
      <c r="K44" s="159">
        <f>IF($V44="mobile",SUMIFS(Mobile_options!I:I,Mobile_options!$B:$B,$D44,Mobile_options!$E:$E,$G44),IF($V44="nonpoint",SUMIFS(Nonpoint_options!I:I,Nonpoint_options!$B:$B,$D44,Nonpoint_options!$E:$E,$G44),SUMIFS(Point_options!I:I,Point_options!$B:$B,$D44,Point_options!$E:$E,$G44)))</f>
        <v>2.9947142923666036E-2</v>
      </c>
      <c r="L44" s="168">
        <f>IF($V44="mobile",SUMIFS(Mobile_options!J:J,Mobile_options!$B:$B,$D44,Mobile_options!$E:$E,$G44),IF($V44="nonpoint",SUMIFS(Nonpoint_options!J:J,Nonpoint_options!$B:$B,$D44,Nonpoint_options!$E:$E,$G44),SUMIFS(Point_options!J:J,Point_options!$B:$B,$D44,Point_options!$E:$E,$G44)))</f>
        <v>1445.0070119374473</v>
      </c>
      <c r="M44" s="153" t="s">
        <v>250</v>
      </c>
      <c r="N44" s="153" t="s">
        <v>250</v>
      </c>
      <c r="O44" s="153" t="s">
        <v>262</v>
      </c>
      <c r="P44" s="153" t="s">
        <v>250</v>
      </c>
      <c r="Q44" s="153" t="s">
        <v>251</v>
      </c>
      <c r="R44" s="153" t="s">
        <v>253</v>
      </c>
      <c r="V44" s="186" t="s">
        <v>350</v>
      </c>
      <c r="W44" s="200">
        <f t="shared" si="0"/>
        <v>37</v>
      </c>
    </row>
    <row r="45" spans="1:23" s="152" customFormat="1" ht="24.2" x14ac:dyDescent="0.3">
      <c r="A45" s="153">
        <f>VLOOKUP(D45,'C-E_Shortlist'!$D$8:$Z$114,23,FALSE)</f>
        <v>42</v>
      </c>
      <c r="B45" s="153">
        <v>38</v>
      </c>
      <c r="C45" s="153" t="str">
        <f>VLOOKUP(D45,Shortlist_xref!$A$5:$C$77,2,FALSE)</f>
        <v>CE</v>
      </c>
      <c r="D45" s="153" t="s">
        <v>193</v>
      </c>
      <c r="E45" s="138" t="s">
        <v>194</v>
      </c>
      <c r="F45" s="138" t="s">
        <v>195</v>
      </c>
      <c r="G45" s="153" t="s">
        <v>12</v>
      </c>
      <c r="H45" s="157">
        <f>IF($V45="mobile",SUMIFS(Mobile_options!F:F,Mobile_options!$B:$B,$D45,Mobile_options!$E:$E,$G45),IF($V45="nonpoint",SUMIFS(Nonpoint_options!F:F,Nonpoint_options!$B:$B,$D45,Nonpoint_options!$E:$E,$G45),SUMIFS(Point_options!F:F,Point_options!$B:$B,$D45,Point_options!$E:$E,$G45)))</f>
        <v>0.02</v>
      </c>
      <c r="I45" s="154">
        <f>IF($V45="mobile",SUMIFS(Mobile_options!G:G,Mobile_options!$B:$B,$D45,Mobile_options!$E:$E,$G45),IF($V45="nonpoint",SUMIFS(Nonpoint_options!G:G,Nonpoint_options!$B:$B,$D45,Nonpoint_options!$E:$E,$G45),SUMIFS(Point_options!G:G,Point_options!$B:$B,$D45,Point_options!$E:$E,$G45)))</f>
        <v>0.8</v>
      </c>
      <c r="J45" s="158" t="str">
        <f>IF(V45="mobile",VLOOKUP($D45&amp;$G45,Mobile_options!$X$1:$Y$150,2,FALSE),IF(EmissRed_Shortlist!V45="nonpoint",VLOOKUP($D45&amp;$G45,Nonpoint_options!$W$1:$X$150,2,FALSE),VLOOKUP($D45&amp;$G45,Point_options!$U$1:$V$150,2,FALSE)))</f>
        <v>$2,900 - 4,600/ton NOx</v>
      </c>
      <c r="K45" s="159">
        <f>IF($V45="mobile",SUMIFS(Mobile_options!I:I,Mobile_options!$B:$B,$D45,Mobile_options!$E:$E,$G45),IF($V45="nonpoint",SUMIFS(Nonpoint_options!I:I,Nonpoint_options!$B:$B,$D45,Nonpoint_options!$E:$E,$G45),SUMIFS(Point_options!I:I,Point_options!$B:$B,$D45,Point_options!$E:$E,$G45)))</f>
        <v>8.1254675933272277E-2</v>
      </c>
      <c r="L45" s="168">
        <f>IF($V45="mobile",SUMIFS(Mobile_options!J:J,Mobile_options!$B:$B,$D45,Mobile_options!$E:$E,$G45),IF($V45="nonpoint",SUMIFS(Nonpoint_options!J:J,Nonpoint_options!$B:$B,$D45,Nonpoint_options!$E:$E,$G45),SUMIFS(Point_options!J:J,Point_options!$B:$B,$D45,Point_options!$E:$E,$G45)))</f>
        <v>1394.0244490167577</v>
      </c>
      <c r="M45" s="153" t="s">
        <v>250</v>
      </c>
      <c r="N45" s="153" t="s">
        <v>250</v>
      </c>
      <c r="O45" s="153" t="s">
        <v>250</v>
      </c>
      <c r="P45" s="153" t="s">
        <v>250</v>
      </c>
      <c r="Q45" s="153" t="s">
        <v>251</v>
      </c>
      <c r="R45" s="153" t="s">
        <v>253</v>
      </c>
      <c r="V45" s="186" t="s">
        <v>352</v>
      </c>
      <c r="W45" s="200">
        <f t="shared" si="0"/>
        <v>38</v>
      </c>
    </row>
    <row r="46" spans="1:23" s="152" customFormat="1" ht="24.2" x14ac:dyDescent="0.3">
      <c r="A46" s="153">
        <f>VLOOKUP(D46,'C-E_Shortlist'!$D$8:$Z$114,23,FALSE)</f>
        <v>43</v>
      </c>
      <c r="B46" s="153">
        <v>39</v>
      </c>
      <c r="C46" s="153" t="str">
        <f>VLOOKUP(D46,Shortlist_xref!$A$5:$C$77,2,FALSE)</f>
        <v>CE</v>
      </c>
      <c r="D46" s="153" t="s">
        <v>209</v>
      </c>
      <c r="E46" s="138" t="s">
        <v>210</v>
      </c>
      <c r="F46" s="138" t="s">
        <v>211</v>
      </c>
      <c r="G46" s="153" t="s">
        <v>12</v>
      </c>
      <c r="H46" s="157">
        <f>IF($V46="mobile",SUMIFS(Mobile_options!F:F,Mobile_options!$B:$B,$D46,Mobile_options!$E:$E,$G46),IF($V46="nonpoint",SUMIFS(Nonpoint_options!F:F,Nonpoint_options!$B:$B,$D46,Nonpoint_options!$E:$E,$G46),SUMIFS(Point_options!F:F,Point_options!$B:$B,$D46,Point_options!$E:$E,$G46)))</f>
        <v>0.02</v>
      </c>
      <c r="I46" s="154">
        <f>IF($V46="mobile",SUMIFS(Mobile_options!G:G,Mobile_options!$B:$B,$D46,Mobile_options!$E:$E,$G46),IF($V46="nonpoint",SUMIFS(Nonpoint_options!G:G,Nonpoint_options!$B:$B,$D46,Nonpoint_options!$E:$E,$G46),SUMIFS(Point_options!G:G,Point_options!$B:$B,$D46,Point_options!$E:$E,$G46)))</f>
        <v>0.8</v>
      </c>
      <c r="J46" s="158" t="str">
        <f>IF(V46="mobile",VLOOKUP($D46&amp;$G46,Mobile_options!$X$1:$Y$150,2,FALSE),IF(EmissRed_Shortlist!V46="nonpoint",VLOOKUP($D46&amp;$G46,Nonpoint_options!$W$1:$X$150,2,FALSE),VLOOKUP($D46&amp;$G46,Point_options!$U$1:$V$150,2,FALSE)))</f>
        <v>$2,900 - 4,600/ton NOx</v>
      </c>
      <c r="K46" s="159">
        <f>IF($V46="mobile",SUMIFS(Mobile_options!I:I,Mobile_options!$B:$B,$D46,Mobile_options!$E:$E,$G46),IF($V46="nonpoint",SUMIFS(Nonpoint_options!I:I,Nonpoint_options!$B:$B,$D46,Nonpoint_options!$E:$E,$G46),SUMIFS(Point_options!I:I,Point_options!$B:$B,$D46,Point_options!$E:$E,$G46)))</f>
        <v>7.4572282514097213E-2</v>
      </c>
      <c r="L46" s="168">
        <f>IF($V46="mobile",SUMIFS(Mobile_options!J:J,Mobile_options!$B:$B,$D46,Mobile_options!$E:$E,$G46),IF($V46="nonpoint",SUMIFS(Nonpoint_options!J:J,Nonpoint_options!$B:$B,$D46,Nonpoint_options!$E:$E,$G46),SUMIFS(Point_options!J:J,Point_options!$B:$B,$D46,Point_options!$E:$E,$G46)))</f>
        <v>1279.3797261465477</v>
      </c>
      <c r="M46" s="153" t="s">
        <v>250</v>
      </c>
      <c r="N46" s="153" t="s">
        <v>250</v>
      </c>
      <c r="O46" s="153" t="s">
        <v>250</v>
      </c>
      <c r="P46" s="153" t="s">
        <v>250</v>
      </c>
      <c r="Q46" s="153" t="s">
        <v>251</v>
      </c>
      <c r="R46" s="153" t="s">
        <v>251</v>
      </c>
      <c r="V46" s="186" t="s">
        <v>352</v>
      </c>
      <c r="W46" s="200">
        <f t="shared" si="0"/>
        <v>39</v>
      </c>
    </row>
    <row r="47" spans="1:23" s="152" customFormat="1" ht="24.2" x14ac:dyDescent="0.3">
      <c r="A47" s="153">
        <f>VLOOKUP(D47,'C-E_Shortlist'!$D$8:$Z$114,23,FALSE)</f>
        <v>56</v>
      </c>
      <c r="B47" s="153">
        <v>40</v>
      </c>
      <c r="C47" s="153" t="str">
        <f>VLOOKUP(D47,Shortlist_xref!$A$5:$C$77,2,FALSE)</f>
        <v>R-Select</v>
      </c>
      <c r="D47" s="153" t="s">
        <v>146</v>
      </c>
      <c r="E47" s="138" t="s">
        <v>147</v>
      </c>
      <c r="F47" s="138" t="s">
        <v>148</v>
      </c>
      <c r="G47" s="153" t="s">
        <v>53</v>
      </c>
      <c r="H47" s="157">
        <f>IF($V47="mobile",SUMIFS(Mobile_options!F:F,Mobile_options!$B:$B,$D47,Mobile_options!$E:$E,$G47),IF($V47="nonpoint",SUMIFS(Nonpoint_options!F:F,Nonpoint_options!$B:$B,$D47,Nonpoint_options!$E:$E,$G47),SUMIFS(Point_options!F:F,Point_options!$B:$B,$D47,Point_options!$E:$E,$G47)))</f>
        <v>0.01</v>
      </c>
      <c r="I47" s="154">
        <f>IF($V47="mobile",SUMIFS(Mobile_options!G:G,Mobile_options!$B:$B,$D47,Mobile_options!$E:$E,$G47),IF($V47="nonpoint",SUMIFS(Nonpoint_options!G:G,Nonpoint_options!$B:$B,$D47,Nonpoint_options!$E:$E,$G47),SUMIFS(Point_options!G:G,Point_options!$B:$B,$D47,Point_options!$E:$E,$G47)))</f>
        <v>0.65</v>
      </c>
      <c r="J47" s="158" t="str">
        <f>IF(V47="mobile",VLOOKUP($D47&amp;$G47,Mobile_options!$X$1:$Y$150,2,FALSE),IF(EmissRed_Shortlist!V47="nonpoint",VLOOKUP($D47&amp;$G47,Nonpoint_options!$W$1:$X$150,2,FALSE),VLOOKUP($D47&amp;$G47,Point_options!$U$1:$V$150,2,FALSE)))</f>
        <v>$26,287-46,062/ton NOx+VOC</v>
      </c>
      <c r="K47" s="159">
        <f>IF($V47="mobile",SUMIFS(Mobile_options!I:I,Mobile_options!$B:$B,$D47,Mobile_options!$E:$E,$G47),IF($V47="nonpoint",SUMIFS(Nonpoint_options!I:I,Nonpoint_options!$B:$B,$D47,Nonpoint_options!$E:$E,$G47),SUMIFS(Point_options!I:I,Point_options!$B:$B,$D47,Point_options!$E:$E,$G47)))</f>
        <v>9.1860264959932922E-2</v>
      </c>
      <c r="L47" s="168">
        <f>IF($V47="mobile",SUMIFS(Mobile_options!J:J,Mobile_options!$B:$B,$D47,Mobile_options!$E:$E,$G47),IF($V47="nonpoint",SUMIFS(Nonpoint_options!J:J,Nonpoint_options!$B:$B,$D47,Nonpoint_options!$E:$E,$G47),SUMIFS(Point_options!J:J,Point_options!$B:$B,$D47,Point_options!$E:$E,$G47)))</f>
        <v>900.77291283763486</v>
      </c>
      <c r="M47" s="153" t="s">
        <v>250</v>
      </c>
      <c r="N47" s="153" t="s">
        <v>250</v>
      </c>
      <c r="O47" s="153" t="s">
        <v>250</v>
      </c>
      <c r="P47" s="153" t="s">
        <v>250</v>
      </c>
      <c r="Q47" s="153" t="s">
        <v>253</v>
      </c>
      <c r="R47" s="153" t="s">
        <v>251</v>
      </c>
      <c r="V47" s="186" t="s">
        <v>352</v>
      </c>
      <c r="W47" s="200">
        <f t="shared" si="0"/>
        <v>40</v>
      </c>
    </row>
    <row r="48" spans="1:23" s="152" customFormat="1" x14ac:dyDescent="0.3">
      <c r="A48" s="153">
        <f>VLOOKUP(D48,'C-E_Shortlist'!$D$8:$Z$114,23,FALSE)</f>
        <v>5</v>
      </c>
      <c r="B48" s="153">
        <v>41</v>
      </c>
      <c r="C48" s="153" t="str">
        <f>VLOOKUP(D48,Shortlist_xref!$A$5:$C$77,2,FALSE)</f>
        <v>C-E</v>
      </c>
      <c r="D48" s="153" t="s">
        <v>93</v>
      </c>
      <c r="E48" s="138" t="s">
        <v>94</v>
      </c>
      <c r="F48" s="138" t="s">
        <v>95</v>
      </c>
      <c r="G48" s="153" t="s">
        <v>12</v>
      </c>
      <c r="H48" s="157">
        <f>IF($V48="mobile",SUMIFS(Mobile_options!F:F,Mobile_options!$B:$B,$D48,Mobile_options!$E:$E,$G48),IF($V48="nonpoint",SUMIFS(Nonpoint_options!F:F,Nonpoint_options!$B:$B,$D48,Nonpoint_options!$E:$E,$G48),SUMIFS(Point_options!F:F,Point_options!$B:$B,$D48,Point_options!$E:$E,$G48)))</f>
        <v>0.1</v>
      </c>
      <c r="I48" s="154">
        <f>IF($V48="mobile",SUMIFS(Mobile_options!G:G,Mobile_options!$B:$B,$D48,Mobile_options!$E:$E,$G48),IF($V48="nonpoint",SUMIFS(Nonpoint_options!G:G,Nonpoint_options!$B:$B,$D48,Nonpoint_options!$E:$E,$G48),SUMIFS(Point_options!G:G,Point_options!$B:$B,$D48,Point_options!$E:$E,$G48)))</f>
        <v>1</v>
      </c>
      <c r="J48" s="158">
        <f>IF(V48="mobile",VLOOKUP($D48&amp;$G48,Mobile_options!$X$1:$Y$150,2,FALSE),IF(EmissRed_Shortlist!V48="nonpoint",VLOOKUP($D48&amp;$G48,Nonpoint_options!$W$1:$X$150,2,FALSE),VLOOKUP($D48&amp;$G48,Point_options!$U$1:$V$150,2,FALSE)))</f>
        <v>0</v>
      </c>
      <c r="K48" s="159">
        <f>IF($V48="mobile",SUMIFS(Mobile_options!I:I,Mobile_options!$B:$B,$D48,Mobile_options!$E:$E,$G48),IF($V48="nonpoint",SUMIFS(Nonpoint_options!I:I,Nonpoint_options!$B:$B,$D48,Nonpoint_options!$E:$E,$G48),SUMIFS(Point_options!I:I,Point_options!$B:$B,$D48,Point_options!$E:$E,$G48)))</f>
        <v>7.9355539262028676E-3</v>
      </c>
      <c r="L48" s="168">
        <f>IF($V48="mobile",SUMIFS(Mobile_options!J:J,Mobile_options!$B:$B,$D48,Mobile_options!$E:$E,$G48),IF($V48="nonpoint",SUMIFS(Nonpoint_options!J:J,Nonpoint_options!$B:$B,$D48,Nonpoint_options!$E:$E,$G48),SUMIFS(Point_options!J:J,Point_options!$B:$B,$D48,Point_options!$E:$E,$G48)))</f>
        <v>850.90150678700002</v>
      </c>
      <c r="M48" s="153" t="s">
        <v>250</v>
      </c>
      <c r="N48" s="153" t="s">
        <v>250</v>
      </c>
      <c r="O48" s="153" t="s">
        <v>263</v>
      </c>
      <c r="P48" s="153" t="s">
        <v>250</v>
      </c>
      <c r="Q48" s="153" t="s">
        <v>251</v>
      </c>
      <c r="R48" s="153" t="s">
        <v>253</v>
      </c>
      <c r="V48" s="186" t="s">
        <v>350</v>
      </c>
      <c r="W48" s="200">
        <f t="shared" si="0"/>
        <v>41</v>
      </c>
    </row>
    <row r="49" spans="1:23" s="152" customFormat="1" ht="24.2" x14ac:dyDescent="0.3">
      <c r="A49" s="153">
        <f>VLOOKUP(D49,'C-E_Shortlist'!$D$8:$Z$114,23,FALSE)</f>
        <v>50</v>
      </c>
      <c r="B49" s="153">
        <v>42</v>
      </c>
      <c r="C49" s="153" t="str">
        <f>VLOOKUP(D49,Shortlist_xref!$A$5:$C$77,2,FALSE)</f>
        <v>R-Select</v>
      </c>
      <c r="D49" s="153" t="s">
        <v>196</v>
      </c>
      <c r="E49" s="138" t="s">
        <v>197</v>
      </c>
      <c r="F49" s="138" t="s">
        <v>198</v>
      </c>
      <c r="G49" s="153" t="s">
        <v>53</v>
      </c>
      <c r="H49" s="157">
        <f>IF($V49="mobile",SUMIFS(Mobile_options!F:F,Mobile_options!$B:$B,$D49,Mobile_options!$E:$E,$G49),IF($V49="nonpoint",SUMIFS(Nonpoint_options!F:F,Nonpoint_options!$B:$B,$D49,Nonpoint_options!$E:$E,$G49),SUMIFS(Point_options!F:F,Point_options!$B:$B,$D49,Point_options!$E:$E,$G49)))</f>
        <v>0.01</v>
      </c>
      <c r="I49" s="154">
        <f>IF($V49="mobile",SUMIFS(Mobile_options!G:G,Mobile_options!$B:$B,$D49,Mobile_options!$E:$E,$G49),IF($V49="nonpoint",SUMIFS(Nonpoint_options!G:G,Nonpoint_options!$B:$B,$D49,Nonpoint_options!$E:$E,$G49),SUMIFS(Point_options!G:G,Point_options!$B:$B,$D49,Point_options!$E:$E,$G49)))</f>
        <v>1</v>
      </c>
      <c r="J49" s="158" t="str">
        <f>IF(V49="mobile",VLOOKUP($D49&amp;$G49,Mobile_options!$X$1:$Y$150,2,FALSE),IF(EmissRed_Shortlist!V49="nonpoint",VLOOKUP($D49&amp;$G49,Nonpoint_options!$W$1:$X$150,2,FALSE),VLOOKUP($D49&amp;$G49,Point_options!$U$1:$V$150,2,FALSE)))</f>
        <v>$16,000/ton NOx+VOC</v>
      </c>
      <c r="K49" s="159">
        <f>IF($V49="mobile",SUMIFS(Mobile_options!I:I,Mobile_options!$B:$B,$D49,Mobile_options!$E:$E,$G49),IF($V49="nonpoint",SUMIFS(Nonpoint_options!I:I,Nonpoint_options!$B:$B,$D49,Nonpoint_options!$E:$E,$G49),SUMIFS(Point_options!I:I,Point_options!$B:$B,$D49,Point_options!$E:$E,$G49)))</f>
        <v>3.7370598997232031E-2</v>
      </c>
      <c r="L49" s="168">
        <f>IF($V49="mobile",SUMIFS(Mobile_options!J:J,Mobile_options!$B:$B,$D49,Mobile_options!$E:$E,$G49),IF($V49="nonpoint",SUMIFS(Nonpoint_options!J:J,Nonpoint_options!$B:$B,$D49,Nonpoint_options!$E:$E,$G49),SUMIFS(Point_options!J:J,Point_options!$B:$B,$D49,Point_options!$E:$E,$G49)))</f>
        <v>563.7730696879089</v>
      </c>
      <c r="M49" s="153" t="s">
        <v>250</v>
      </c>
      <c r="N49" s="153" t="s">
        <v>250</v>
      </c>
      <c r="O49" s="153" t="s">
        <v>250</v>
      </c>
      <c r="P49" s="153" t="s">
        <v>250</v>
      </c>
      <c r="Q49" s="153" t="s">
        <v>251</v>
      </c>
      <c r="R49" s="153" t="s">
        <v>251</v>
      </c>
      <c r="V49" s="186" t="s">
        <v>352</v>
      </c>
      <c r="W49" s="200">
        <f t="shared" si="0"/>
        <v>42</v>
      </c>
    </row>
    <row r="50" spans="1:23" s="152" customFormat="1" x14ac:dyDescent="0.3">
      <c r="A50" s="153">
        <f>VLOOKUP(D50,'C-E_Shortlist'!$D$8:$Z$114,23,FALSE)</f>
        <v>7</v>
      </c>
      <c r="B50" s="153">
        <v>43</v>
      </c>
      <c r="C50" s="153" t="str">
        <f>VLOOKUP(D50,Shortlist_xref!$A$5:$C$77,2,FALSE)</f>
        <v>C-E</v>
      </c>
      <c r="D50" s="153" t="s">
        <v>125</v>
      </c>
      <c r="E50" s="138" t="s">
        <v>126</v>
      </c>
      <c r="F50" s="138" t="s">
        <v>112</v>
      </c>
      <c r="G50" s="153" t="s">
        <v>53</v>
      </c>
      <c r="H50" s="157">
        <f>IF($V50="mobile",SUMIFS(Mobile_options!F:F,Mobile_options!$B:$B,$D50,Mobile_options!$E:$E,$G50),IF($V50="nonpoint",SUMIFS(Nonpoint_options!F:F,Nonpoint_options!$B:$B,$D50,Nonpoint_options!$E:$E,$G50),SUMIFS(Point_options!F:F,Point_options!$B:$B,$D50,Point_options!$E:$E,$G50)))</f>
        <v>0.1</v>
      </c>
      <c r="I50" s="154">
        <f>IF($V50="mobile",SUMIFS(Mobile_options!G:G,Mobile_options!$B:$B,$D50,Mobile_options!$E:$E,$G50),IF($V50="nonpoint",SUMIFS(Nonpoint_options!G:G,Nonpoint_options!$B:$B,$D50,Nonpoint_options!$E:$E,$G50),SUMIFS(Point_options!G:G,Point_options!$B:$B,$D50,Point_options!$E:$E,$G50)))</f>
        <v>1</v>
      </c>
      <c r="J50" s="158">
        <f>IF(V50="mobile",VLOOKUP($D50&amp;$G50,Mobile_options!$X$1:$Y$150,2,FALSE),IF(EmissRed_Shortlist!V50="nonpoint",VLOOKUP($D50&amp;$G50,Nonpoint_options!$W$1:$X$150,2,FALSE),VLOOKUP($D50&amp;$G50,Point_options!$U$1:$V$150,2,FALSE)))</f>
        <v>24</v>
      </c>
      <c r="K50" s="159">
        <f>IF($V50="mobile",SUMIFS(Mobile_options!I:I,Mobile_options!$B:$B,$D50,Mobile_options!$E:$E,$G50),IF($V50="nonpoint",SUMIFS(Nonpoint_options!I:I,Nonpoint_options!$B:$B,$D50,Nonpoint_options!$E:$E,$G50),SUMIFS(Point_options!I:I,Point_options!$B:$B,$D50,Point_options!$E:$E,$G50)))</f>
        <v>3.7366587488215659E-3</v>
      </c>
      <c r="L50" s="168">
        <f>IF($V50="mobile",SUMIFS(Mobile_options!J:J,Mobile_options!$B:$B,$D50,Mobile_options!$E:$E,$G50),IF($V50="nonpoint",SUMIFS(Nonpoint_options!J:J,Nonpoint_options!$B:$B,$D50,Nonpoint_options!$E:$E,$G50),SUMIFS(Point_options!J:J,Point_options!$B:$B,$D50,Point_options!$E:$E,$G50)))</f>
        <v>563.71255203999999</v>
      </c>
      <c r="M50" s="153" t="s">
        <v>250</v>
      </c>
      <c r="N50" s="153" t="s">
        <v>250</v>
      </c>
      <c r="O50" s="153" t="s">
        <v>250</v>
      </c>
      <c r="P50" s="153" t="s">
        <v>250</v>
      </c>
      <c r="Q50" s="153" t="s">
        <v>253</v>
      </c>
      <c r="R50" s="153" t="s">
        <v>253</v>
      </c>
      <c r="V50" s="186" t="s">
        <v>350</v>
      </c>
      <c r="W50" s="200">
        <f t="shared" si="0"/>
        <v>43</v>
      </c>
    </row>
    <row r="51" spans="1:23" s="152" customFormat="1" ht="24.2" x14ac:dyDescent="0.3">
      <c r="A51" s="153">
        <f>VLOOKUP(D51,'C-E_Shortlist'!$D$8:$Z$114,23,FALSE)</f>
        <v>56</v>
      </c>
      <c r="B51" s="153">
        <v>44</v>
      </c>
      <c r="C51" s="153" t="str">
        <f>VLOOKUP(D51,Shortlist_xref!$A$5:$C$77,2,FALSE)</f>
        <v>R-Select</v>
      </c>
      <c r="D51" s="153" t="s">
        <v>146</v>
      </c>
      <c r="E51" s="138" t="s">
        <v>147</v>
      </c>
      <c r="F51" s="138" t="s">
        <v>148</v>
      </c>
      <c r="G51" s="153" t="s">
        <v>12</v>
      </c>
      <c r="H51" s="157">
        <f>IF($V51="mobile",SUMIFS(Mobile_options!F:F,Mobile_options!$B:$B,$D51,Mobile_options!$E:$E,$G51),IF($V51="nonpoint",SUMIFS(Nonpoint_options!F:F,Nonpoint_options!$B:$B,$D51,Nonpoint_options!$E:$E,$G51),SUMIFS(Point_options!F:F,Point_options!$B:$B,$D51,Point_options!$E:$E,$G51)))</f>
        <v>0.01</v>
      </c>
      <c r="I51" s="154">
        <f>IF($V51="mobile",SUMIFS(Mobile_options!G:G,Mobile_options!$B:$B,$D51,Mobile_options!$E:$E,$G51),IF($V51="nonpoint",SUMIFS(Nonpoint_options!G:G,Nonpoint_options!$B:$B,$D51,Nonpoint_options!$E:$E,$G51),SUMIFS(Point_options!G:G,Point_options!$B:$B,$D51,Point_options!$E:$E,$G51)))</f>
        <v>0.52</v>
      </c>
      <c r="J51" s="158" t="str">
        <f>IF(V51="mobile",VLOOKUP($D51&amp;$G51,Mobile_options!$X$1:$Y$150,2,FALSE),IF(EmissRed_Shortlist!V51="nonpoint",VLOOKUP($D51&amp;$G51,Nonpoint_options!$W$1:$X$150,2,FALSE),VLOOKUP($D51&amp;$G51,Point_options!$U$1:$V$150,2,FALSE)))</f>
        <v>$26,287-46,062/ton NOx+VOC</v>
      </c>
      <c r="K51" s="159">
        <f>IF($V51="mobile",SUMIFS(Mobile_options!I:I,Mobile_options!$B:$B,$D51,Mobile_options!$E:$E,$G51),IF($V51="nonpoint",SUMIFS(Nonpoint_options!I:I,Nonpoint_options!$B:$B,$D51,Nonpoint_options!$E:$E,$G51),SUMIFS(Point_options!I:I,Point_options!$B:$B,$D51,Point_options!$E:$E,$G51)))</f>
        <v>0.10025591063278323</v>
      </c>
      <c r="L51" s="168">
        <f>IF($V51="mobile",SUMIFS(Mobile_options!J:J,Mobile_options!$B:$B,$D51,Mobile_options!$E:$E,$G51),IF($V51="nonpoint",SUMIFS(Nonpoint_options!J:J,Nonpoint_options!$B:$B,$D51,Nonpoint_options!$E:$E,$G51),SUMIFS(Point_options!J:J,Point_options!$B:$B,$D51,Point_options!$E:$E,$G51)))</f>
        <v>559.00459163699406</v>
      </c>
      <c r="M51" s="153" t="s">
        <v>250</v>
      </c>
      <c r="N51" s="153" t="s">
        <v>250</v>
      </c>
      <c r="O51" s="153" t="s">
        <v>250</v>
      </c>
      <c r="P51" s="153" t="s">
        <v>250</v>
      </c>
      <c r="Q51" s="153" t="s">
        <v>253</v>
      </c>
      <c r="R51" s="153" t="s">
        <v>251</v>
      </c>
      <c r="V51" s="186" t="s">
        <v>352</v>
      </c>
      <c r="W51" s="200">
        <f t="shared" si="0"/>
        <v>44</v>
      </c>
    </row>
    <row r="52" spans="1:23" s="152" customFormat="1" x14ac:dyDescent="0.3">
      <c r="A52" s="153">
        <f>VLOOKUP(D52,'C-E_Shortlist'!$D$8:$Z$114,23,FALSE)</f>
        <v>35</v>
      </c>
      <c r="B52" s="153">
        <v>45</v>
      </c>
      <c r="C52" s="153" t="str">
        <f>VLOOKUP(D52,Shortlist_xref!$A$5:$C$77,2,FALSE)</f>
        <v>CE</v>
      </c>
      <c r="D52" s="153" t="s">
        <v>170</v>
      </c>
      <c r="E52" s="138" t="s">
        <v>171</v>
      </c>
      <c r="F52" s="138" t="s">
        <v>333</v>
      </c>
      <c r="G52" s="153" t="s">
        <v>12</v>
      </c>
      <c r="H52" s="157">
        <f>IF($V52="mobile",SUMIFS(Mobile_options!F:F,Mobile_options!$B:$B,$D52,Mobile_options!$E:$E,$G52),IF($V52="nonpoint",SUMIFS(Nonpoint_options!F:F,Nonpoint_options!$B:$B,$D52,Nonpoint_options!$E:$E,$G52),SUMIFS(Point_options!F:F,Point_options!$B:$B,$D52,Point_options!$E:$E,$G52)))</f>
        <v>0.1</v>
      </c>
      <c r="I52" s="154">
        <f>IF($V52="mobile",SUMIFS(Mobile_options!G:G,Mobile_options!$B:$B,$D52,Mobile_options!$E:$E,$G52),IF($V52="nonpoint",SUMIFS(Nonpoint_options!G:G,Nonpoint_options!$B:$B,$D52,Nonpoint_options!$E:$E,$G52),SUMIFS(Point_options!G:G,Point_options!$B:$B,$D52,Point_options!$E:$E,$G52)))</f>
        <v>0.54</v>
      </c>
      <c r="J52" s="158" t="str">
        <f>IF(V52="mobile",VLOOKUP($D52&amp;$G52,Mobile_options!$X$1:$Y$150,2,FALSE),IF(EmissRed_Shortlist!V52="nonpoint",VLOOKUP($D52&amp;$G52,Nonpoint_options!$W$1:$X$150,2,FALSE),VLOOKUP($D52&amp;$G52,Point_options!$U$1:$V$150,2,FALSE)))</f>
        <v>$3,250/ ton NOx</v>
      </c>
      <c r="K52" s="159">
        <f>IF($V52="mobile",SUMIFS(Mobile_options!I:I,Mobile_options!$B:$B,$D52,Mobile_options!$E:$E,$G52),IF($V52="nonpoint",SUMIFS(Nonpoint_options!I:I,Nonpoint_options!$B:$B,$D52,Nonpoint_options!$E:$E,$G52),SUMIFS(Point_options!I:I,Point_options!$B:$B,$D52,Point_options!$E:$E,$G52)))</f>
        <v>1.2587324875620724E-2</v>
      </c>
      <c r="L52" s="168">
        <f>IF($V52="mobile",SUMIFS(Mobile_options!J:J,Mobile_options!$B:$B,$D52,Mobile_options!$E:$E,$G52),IF($V52="nonpoint",SUMIFS(Nonpoint_options!J:J,Nonpoint_options!$B:$B,$D52,Nonpoint_options!$E:$E,$G52),SUMIFS(Point_options!J:J,Point_options!$B:$B,$D52,Point_options!$E:$E,$G52)))</f>
        <v>728.83504459182609</v>
      </c>
      <c r="M52" s="153" t="s">
        <v>250</v>
      </c>
      <c r="N52" s="153" t="s">
        <v>250</v>
      </c>
      <c r="O52" s="153" t="s">
        <v>250</v>
      </c>
      <c r="P52" s="153" t="s">
        <v>250</v>
      </c>
      <c r="Q52" s="153" t="s">
        <v>251</v>
      </c>
      <c r="R52" s="153" t="s">
        <v>251</v>
      </c>
      <c r="V52" s="186" t="s">
        <v>352</v>
      </c>
      <c r="W52" s="200">
        <f t="shared" si="0"/>
        <v>45</v>
      </c>
    </row>
    <row r="53" spans="1:23" s="152" customFormat="1" x14ac:dyDescent="0.3">
      <c r="A53" s="153">
        <f>VLOOKUP(D53,'C-E_Shortlist'!$D$8:$Z$114,23,FALSE)</f>
        <v>9</v>
      </c>
      <c r="B53" s="153">
        <v>46</v>
      </c>
      <c r="C53" s="153" t="str">
        <f>VLOOKUP(D53,Shortlist_xref!$A$5:$C$77,2,FALSE)</f>
        <v>C-E</v>
      </c>
      <c r="D53" s="153" t="s">
        <v>109</v>
      </c>
      <c r="E53" s="138" t="s">
        <v>110</v>
      </c>
      <c r="F53" s="138" t="s">
        <v>111</v>
      </c>
      <c r="G53" s="153" t="s">
        <v>53</v>
      </c>
      <c r="H53" s="157">
        <f>IF($V53="mobile",SUMIFS(Mobile_options!F:F,Mobile_options!$B:$B,$D53,Mobile_options!$E:$E,$G53),IF($V53="nonpoint",SUMIFS(Nonpoint_options!F:F,Nonpoint_options!$B:$B,$D53,Nonpoint_options!$E:$E,$G53),SUMIFS(Point_options!F:F,Point_options!$B:$B,$D53,Point_options!$E:$E,$G53)))</f>
        <v>0.1</v>
      </c>
      <c r="I53" s="154">
        <f>IF($V53="mobile",SUMIFS(Mobile_options!G:G,Mobile_options!$B:$B,$D53,Mobile_options!$E:$E,$G53),IF($V53="nonpoint",SUMIFS(Nonpoint_options!G:G,Nonpoint_options!$B:$B,$D53,Nonpoint_options!$E:$E,$G53),SUMIFS(Point_options!G:G,Point_options!$B:$B,$D53,Point_options!$E:$E,$G53)))</f>
        <v>0.84</v>
      </c>
      <c r="J53" s="158">
        <f>IF(V53="mobile",VLOOKUP($D53&amp;$G53,Mobile_options!$X$1:$Y$150,2,FALSE),IF(EmissRed_Shortlist!V53="nonpoint",VLOOKUP($D53&amp;$G53,Nonpoint_options!$W$1:$X$150,2,FALSE),VLOOKUP($D53&amp;$G53,Point_options!$U$1:$V$150,2,FALSE)))</f>
        <v>118</v>
      </c>
      <c r="K53" s="159">
        <f>IF($V53="mobile",SUMIFS(Mobile_options!I:I,Mobile_options!$B:$B,$D53,Mobile_options!$E:$E,$G53),IF($V53="nonpoint",SUMIFS(Nonpoint_options!I:I,Nonpoint_options!$B:$B,$D53,Nonpoint_options!$E:$E,$G53),SUMIFS(Point_options!I:I,Point_options!$B:$B,$D53,Point_options!$E:$E,$G53)))</f>
        <v>3.4921080654905941E-3</v>
      </c>
      <c r="L53" s="168">
        <f>IF($V53="mobile",SUMIFS(Mobile_options!J:J,Mobile_options!$B:$B,$D53,Mobile_options!$E:$E,$G53),IF($V53="nonpoint",SUMIFS(Nonpoint_options!J:J,Nonpoint_options!$B:$B,$D53,Nonpoint_options!$E:$E,$G53),SUMIFS(Point_options!J:J,Point_options!$B:$B,$D53,Point_options!$E:$E,$G53)))</f>
        <v>442.52848247999998</v>
      </c>
      <c r="M53" s="153" t="s">
        <v>250</v>
      </c>
      <c r="N53" s="153" t="s">
        <v>250</v>
      </c>
      <c r="O53" s="153" t="s">
        <v>263</v>
      </c>
      <c r="P53" s="153" t="s">
        <v>250</v>
      </c>
      <c r="Q53" s="153" t="s">
        <v>253</v>
      </c>
      <c r="R53" s="153" t="s">
        <v>253</v>
      </c>
      <c r="V53" s="186" t="s">
        <v>350</v>
      </c>
      <c r="W53" s="200">
        <f t="shared" si="0"/>
        <v>46</v>
      </c>
    </row>
    <row r="54" spans="1:23" s="152" customFormat="1" ht="24.2" x14ac:dyDescent="0.3">
      <c r="A54" s="153">
        <f>VLOOKUP(D54,'C-E_Shortlist'!$D$8:$Z$114,23,FALSE)</f>
        <v>25</v>
      </c>
      <c r="B54" s="153">
        <v>47</v>
      </c>
      <c r="C54" s="153" t="str">
        <f>VLOOKUP(D54,Shortlist_xref!$A$5:$C$77,2,FALSE)</f>
        <v>C-E</v>
      </c>
      <c r="D54" s="153" t="s">
        <v>127</v>
      </c>
      <c r="E54" s="138" t="s">
        <v>128</v>
      </c>
      <c r="F54" s="138" t="s">
        <v>129</v>
      </c>
      <c r="G54" s="153" t="s">
        <v>53</v>
      </c>
      <c r="H54" s="157">
        <f>IF($V54="mobile",SUMIFS(Mobile_options!F:F,Mobile_options!$B:$B,$D54,Mobile_options!$E:$E,$G54),IF($V54="nonpoint",SUMIFS(Nonpoint_options!F:F,Nonpoint_options!$B:$B,$D54,Nonpoint_options!$E:$E,$G54),SUMIFS(Point_options!F:F,Point_options!$B:$B,$D54,Point_options!$E:$E,$G54)))</f>
        <v>0.1</v>
      </c>
      <c r="I54" s="154">
        <f>IF($V54="mobile",SUMIFS(Mobile_options!G:G,Mobile_options!$B:$B,$D54,Mobile_options!$E:$E,$G54),IF($V54="nonpoint",SUMIFS(Nonpoint_options!G:G,Nonpoint_options!$B:$B,$D54,Nonpoint_options!$E:$E,$G54),SUMIFS(Point_options!G:G,Point_options!$B:$B,$D54,Point_options!$E:$E,$G54)))</f>
        <v>0.36400817995910023</v>
      </c>
      <c r="J54" s="158">
        <f>IF(V54="mobile",VLOOKUP($D54&amp;$G54,Mobile_options!$X$1:$Y$150,2,FALSE),IF(EmissRed_Shortlist!V54="nonpoint",VLOOKUP($D54&amp;$G54,Nonpoint_options!$W$1:$X$150,2,FALSE),VLOOKUP($D54&amp;$G54,Point_options!$U$1:$V$150,2,FALSE)))</f>
        <v>1350</v>
      </c>
      <c r="K54" s="159">
        <f>IF($V54="mobile",SUMIFS(Mobile_options!I:I,Mobile_options!$B:$B,$D54,Mobile_options!$E:$E,$G54),IF($V54="nonpoint",SUMIFS(Nonpoint_options!I:I,Nonpoint_options!$B:$B,$D54,Nonpoint_options!$E:$E,$G54),SUMIFS(Point_options!I:I,Point_options!$B:$B,$D54,Point_options!$E:$E,$G54)))</f>
        <v>5.4656836017417899E-3</v>
      </c>
      <c r="L54" s="168">
        <f>IF($V54="mobile",SUMIFS(Mobile_options!J:J,Mobile_options!$B:$B,$D54,Mobile_options!$E:$E,$G54),IF($V54="nonpoint",SUMIFS(Nonpoint_options!J:J,Nonpoint_options!$B:$B,$D54,Nonpoint_options!$E:$E,$G54),SUMIFS(Point_options!J:J,Point_options!$B:$B,$D54,Point_options!$E:$E,$G54)))</f>
        <v>300.14416057259717</v>
      </c>
      <c r="M54" s="153" t="s">
        <v>250</v>
      </c>
      <c r="N54" s="153" t="s">
        <v>250</v>
      </c>
      <c r="O54" s="153" t="s">
        <v>250</v>
      </c>
      <c r="P54" s="153" t="s">
        <v>250</v>
      </c>
      <c r="Q54" s="153" t="s">
        <v>251</v>
      </c>
      <c r="R54" s="153" t="s">
        <v>253</v>
      </c>
      <c r="V54" s="186" t="s">
        <v>350</v>
      </c>
      <c r="W54" s="200">
        <f t="shared" si="0"/>
        <v>47</v>
      </c>
    </row>
    <row r="55" spans="1:23" s="152" customFormat="1" x14ac:dyDescent="0.3">
      <c r="A55" s="153">
        <f>VLOOKUP(D55,'C-E_Shortlist'!$D$8:$Z$114,23,FALSE)</f>
        <v>39</v>
      </c>
      <c r="B55" s="153">
        <v>48</v>
      </c>
      <c r="C55" s="153" t="str">
        <f>VLOOKUP(D55,Shortlist_xref!$A$5:$C$77,2,FALSE)</f>
        <v>R-Select</v>
      </c>
      <c r="D55" s="153" t="s">
        <v>36</v>
      </c>
      <c r="E55" s="138" t="s">
        <v>334</v>
      </c>
      <c r="F55" s="138" t="s">
        <v>21</v>
      </c>
      <c r="G55" s="153" t="s">
        <v>12</v>
      </c>
      <c r="H55" s="157">
        <f>IF($V55="mobile",SUMIFS(Mobile_options!F:F,Mobile_options!$B:$B,$D55,Mobile_options!$E:$E,$G55),IF($V55="nonpoint",SUMIFS(Nonpoint_options!F:F,Nonpoint_options!$B:$B,$D55,Nonpoint_options!$E:$E,$G55),SUMIFS(Point_options!F:F,Point_options!$B:$B,$D55,Point_options!$E:$E,$G55)))</f>
        <v>0.1</v>
      </c>
      <c r="I55" s="154">
        <f>IF($V55="mobile",SUMIFS(Mobile_options!G:G,Mobile_options!$B:$B,$D55,Mobile_options!$E:$E,$G55),IF($V55="nonpoint",SUMIFS(Nonpoint_options!G:G,Nonpoint_options!$B:$B,$D55,Nonpoint_options!$E:$E,$G55),SUMIFS(Point_options!G:G,Point_options!$B:$B,$D55,Point_options!$E:$E,$G55)))</f>
        <v>0.85</v>
      </c>
      <c r="J55" s="158">
        <f>IF(V55="mobile",VLOOKUP($D55&amp;$G55,Mobile_options!$X$1:$Y$150,2,FALSE),IF(EmissRed_Shortlist!V55="nonpoint",VLOOKUP($D55&amp;$G55,Nonpoint_options!$W$1:$X$150,2,FALSE),VLOOKUP($D55&amp;$G55,Point_options!$U$1:$V$150,2,FALSE)))</f>
        <v>3388</v>
      </c>
      <c r="K55" s="159">
        <f>IF($V55="mobile",SUMIFS(Mobile_options!I:I,Mobile_options!$B:$B,$D55,Mobile_options!$E:$E,$G55),IF($V55="nonpoint",SUMIFS(Nonpoint_options!I:I,Nonpoint_options!$B:$B,$D55,Nonpoint_options!$E:$E,$G55),SUMIFS(Point_options!I:I,Point_options!$B:$B,$D55,Point_options!$E:$E,$G55)))</f>
        <v>1.9843960412402099E-5</v>
      </c>
      <c r="L55" s="168">
        <f>IF($V55="mobile",SUMIFS(Mobile_options!J:J,Mobile_options!$B:$B,$D55,Mobile_options!$E:$E,$G55),IF($V55="nonpoint",SUMIFS(Nonpoint_options!J:J,Nonpoint_options!$B:$B,$D55,Nonpoint_options!$E:$E,$G55),SUMIFS(Point_options!J:J,Point_options!$B:$B,$D55,Point_options!$E:$E,$G55)))</f>
        <v>267.747365</v>
      </c>
      <c r="M55" s="153" t="s">
        <v>250</v>
      </c>
      <c r="N55" s="153" t="s">
        <v>250</v>
      </c>
      <c r="O55" s="153" t="s">
        <v>263</v>
      </c>
      <c r="P55" s="153" t="s">
        <v>250</v>
      </c>
      <c r="Q55" s="153" t="s">
        <v>251</v>
      </c>
      <c r="R55" s="153" t="s">
        <v>251</v>
      </c>
      <c r="V55" s="186" t="s">
        <v>351</v>
      </c>
      <c r="W55" s="200">
        <f t="shared" si="0"/>
        <v>48</v>
      </c>
    </row>
    <row r="56" spans="1:23" s="152" customFormat="1" ht="24.2" x14ac:dyDescent="0.3">
      <c r="A56" s="153">
        <f>VLOOKUP(D56,'C-E_Shortlist'!$D$8:$Z$114,23,FALSE)</f>
        <v>17</v>
      </c>
      <c r="B56" s="153">
        <v>49</v>
      </c>
      <c r="C56" s="153" t="str">
        <f>VLOOKUP(D56,Shortlist_xref!$A$5:$C$77,2,FALSE)</f>
        <v>C-E</v>
      </c>
      <c r="D56" s="153" t="s">
        <v>42</v>
      </c>
      <c r="E56" s="138" t="s">
        <v>43</v>
      </c>
      <c r="F56" s="138" t="s">
        <v>44</v>
      </c>
      <c r="G56" s="153" t="s">
        <v>12</v>
      </c>
      <c r="H56" s="157">
        <f>IF($V56="mobile",SUMIFS(Mobile_options!F:F,Mobile_options!$B:$B,$D56,Mobile_options!$E:$E,$G56),IF($V56="nonpoint",SUMIFS(Nonpoint_options!F:F,Nonpoint_options!$B:$B,$D56,Nonpoint_options!$E:$E,$G56),SUMIFS(Point_options!F:F,Point_options!$B:$B,$D56,Point_options!$E:$E,$G56)))</f>
        <v>0.1</v>
      </c>
      <c r="I56" s="154">
        <f>IF($V56="mobile",SUMIFS(Mobile_options!G:G,Mobile_options!$B:$B,$D56,Mobile_options!$E:$E,$G56),IF($V56="nonpoint",SUMIFS(Nonpoint_options!G:G,Nonpoint_options!$B:$B,$D56,Nonpoint_options!$E:$E,$G56),SUMIFS(Point_options!G:G,Point_options!$B:$B,$D56,Point_options!$E:$E,$G56)))</f>
        <v>0.9</v>
      </c>
      <c r="J56" s="158">
        <f>IF(V56="mobile",VLOOKUP($D56&amp;$G56,Mobile_options!$X$1:$Y$150,2,FALSE),IF(EmissRed_Shortlist!V56="nonpoint",VLOOKUP($D56&amp;$G56,Nonpoint_options!$W$1:$X$150,2,FALSE),VLOOKUP($D56&amp;$G56,Point_options!$U$1:$V$150,2,FALSE)))</f>
        <v>509</v>
      </c>
      <c r="K56" s="159">
        <f>IF($V56="mobile",SUMIFS(Mobile_options!I:I,Mobile_options!$B:$B,$D56,Mobile_options!$E:$E,$G56),IF($V56="nonpoint",SUMIFS(Nonpoint_options!I:I,Nonpoint_options!$B:$B,$D56,Nonpoint_options!$E:$E,$G56),SUMIFS(Point_options!I:I,Point_options!$B:$B,$D56,Point_options!$E:$E,$G56)))</f>
        <v>1.1947100793289238E-4</v>
      </c>
      <c r="L56" s="168">
        <f>IF($V56="mobile",SUMIFS(Mobile_options!J:J,Mobile_options!$B:$B,$D56,Mobile_options!$E:$E,$G56),IF($V56="nonpoint",SUMIFS(Nonpoint_options!J:J,Nonpoint_options!$B:$B,$D56,Nonpoint_options!$E:$E,$G56),SUMIFS(Point_options!J:J,Point_options!$B:$B,$D56,Point_options!$E:$E,$G56)))</f>
        <v>245.81251641343334</v>
      </c>
      <c r="M56" s="153" t="s">
        <v>250</v>
      </c>
      <c r="N56" s="153" t="s">
        <v>250</v>
      </c>
      <c r="O56" s="153" t="s">
        <v>250</v>
      </c>
      <c r="P56" s="153" t="s">
        <v>250</v>
      </c>
      <c r="Q56" s="153" t="s">
        <v>251</v>
      </c>
      <c r="R56" s="153" t="s">
        <v>253</v>
      </c>
      <c r="V56" s="186" t="s">
        <v>351</v>
      </c>
      <c r="W56" s="200">
        <f t="shared" si="0"/>
        <v>49</v>
      </c>
    </row>
    <row r="57" spans="1:23" s="152" customFormat="1" ht="24.2" x14ac:dyDescent="0.3">
      <c r="A57" s="153">
        <f>VLOOKUP(D57,'C-E_Shortlist'!$D$8:$Z$114,23,FALSE)</f>
        <v>71</v>
      </c>
      <c r="B57" s="153">
        <v>50</v>
      </c>
      <c r="C57" s="153" t="str">
        <f>VLOOKUP(D57,Shortlist_xref!$A$5:$C$77,2,FALSE)</f>
        <v>R-Select</v>
      </c>
      <c r="D57" s="153" t="s">
        <v>187</v>
      </c>
      <c r="E57" s="138" t="s">
        <v>181</v>
      </c>
      <c r="F57" s="138" t="s">
        <v>188</v>
      </c>
      <c r="G57" s="153" t="s">
        <v>12</v>
      </c>
      <c r="H57" s="157">
        <f>IF($V57="mobile",SUMIFS(Mobile_options!F:F,Mobile_options!$B:$B,$D57,Mobile_options!$E:$E,$G57),IF($V57="nonpoint",SUMIFS(Nonpoint_options!F:F,Nonpoint_options!$B:$B,$D57,Nonpoint_options!$E:$E,$G57),SUMIFS(Point_options!F:F,Point_options!$B:$B,$D57,Point_options!$E:$E,$G57)))</f>
        <v>0.01</v>
      </c>
      <c r="I57" s="154">
        <f>IF($V57="mobile",SUMIFS(Mobile_options!G:G,Mobile_options!$B:$B,$D57,Mobile_options!$E:$E,$G57),IF($V57="nonpoint",SUMIFS(Nonpoint_options!G:G,Nonpoint_options!$B:$B,$D57,Nonpoint_options!$E:$E,$G57),SUMIFS(Point_options!G:G,Point_options!$B:$B,$D57,Point_options!$E:$E,$G57)))</f>
        <v>0.19500000000000001</v>
      </c>
      <c r="J57" s="158" t="str">
        <f>IF(V57="mobile",VLOOKUP($D57&amp;$G57,Mobile_options!$X$1:$Y$150,2,FALSE),IF(EmissRed_Shortlist!V57="nonpoint",VLOOKUP($D57&amp;$G57,Nonpoint_options!$W$1:$X$150,2,FALSE),VLOOKUP($D57&amp;$G57,Point_options!$U$1:$V$150,2,FALSE)))</f>
        <v>NA</v>
      </c>
      <c r="K57" s="159">
        <f>IF($V57="mobile",SUMIFS(Mobile_options!I:I,Mobile_options!$B:$B,$D57,Mobile_options!$E:$E,$G57),IF($V57="nonpoint",SUMIFS(Nonpoint_options!I:I,Nonpoint_options!$B:$B,$D57,Nonpoint_options!$E:$E,$G57),SUMIFS(Point_options!I:I,Point_options!$B:$B,$D57,Point_options!$E:$E,$G57)))</f>
        <v>9.7099050388806174E-2</v>
      </c>
      <c r="L57" s="168">
        <f>IF($V57="mobile",SUMIFS(Mobile_options!J:J,Mobile_options!$B:$B,$D57,Mobile_options!$E:$E,$G57),IF($V57="nonpoint",SUMIFS(Nonpoint_options!J:J,Nonpoint_options!$B:$B,$D57,Nonpoint_options!$E:$E,$G57),SUMIFS(Point_options!J:J,Point_options!$B:$B,$D57,Point_options!$E:$E,$G57)))</f>
        <v>203.0259911922299</v>
      </c>
      <c r="M57" s="153" t="s">
        <v>250</v>
      </c>
      <c r="N57" s="153" t="s">
        <v>250</v>
      </c>
      <c r="O57" s="153" t="s">
        <v>250</v>
      </c>
      <c r="P57" s="153" t="s">
        <v>250</v>
      </c>
      <c r="Q57" s="153" t="s">
        <v>253</v>
      </c>
      <c r="R57" s="153" t="s">
        <v>253</v>
      </c>
      <c r="V57" s="186" t="s">
        <v>352</v>
      </c>
      <c r="W57" s="200">
        <f t="shared" si="0"/>
        <v>50</v>
      </c>
    </row>
    <row r="58" spans="1:23" s="152" customFormat="1" ht="24.2" x14ac:dyDescent="0.3">
      <c r="A58" s="153">
        <f>VLOOKUP(D58,'C-E_Shortlist'!$D$8:$Z$114,23,FALSE)</f>
        <v>23</v>
      </c>
      <c r="B58" s="153">
        <v>51</v>
      </c>
      <c r="C58" s="153" t="str">
        <f>VLOOKUP(D58,Shortlist_xref!$A$5:$C$77,2,FALSE)</f>
        <v>C-E</v>
      </c>
      <c r="D58" s="153" t="s">
        <v>118</v>
      </c>
      <c r="E58" s="138" t="s">
        <v>119</v>
      </c>
      <c r="F58" s="138" t="s">
        <v>120</v>
      </c>
      <c r="G58" s="153" t="s">
        <v>53</v>
      </c>
      <c r="H58" s="157">
        <f>IF($V58="mobile",SUMIFS(Mobile_options!F:F,Mobile_options!$B:$B,$D58,Mobile_options!$E:$E,$G58),IF($V58="nonpoint",SUMIFS(Nonpoint_options!F:F,Nonpoint_options!$B:$B,$D58,Nonpoint_options!$E:$E,$G58),SUMIFS(Point_options!F:F,Point_options!$B:$B,$D58,Point_options!$E:$E,$G58)))</f>
        <v>0.1</v>
      </c>
      <c r="I58" s="154">
        <f>IF($V58="mobile",SUMIFS(Mobile_options!G:G,Mobile_options!$B:$B,$D58,Mobile_options!$E:$E,$G58),IF($V58="nonpoint",SUMIFS(Nonpoint_options!G:G,Nonpoint_options!$B:$B,$D58,Nonpoint_options!$E:$E,$G58),SUMIFS(Point_options!G:G,Point_options!$B:$B,$D58,Point_options!$E:$E,$G58)))</f>
        <v>0.94</v>
      </c>
      <c r="J58" s="158">
        <f>IF(V58="mobile",VLOOKUP($D58&amp;$G58,Mobile_options!$X$1:$Y$150,2,FALSE),IF(EmissRed_Shortlist!V58="nonpoint",VLOOKUP($D58&amp;$G58,Nonpoint_options!$W$1:$X$150,2,FALSE),VLOOKUP($D58&amp;$G58,Point_options!$U$1:$V$150,2,FALSE)))</f>
        <v>1134</v>
      </c>
      <c r="K58" s="159">
        <f>IF($V58="mobile",SUMIFS(Mobile_options!I:I,Mobile_options!$B:$B,$D58,Mobile_options!$E:$E,$G58),IF($V58="nonpoint",SUMIFS(Nonpoint_options!I:I,Nonpoint_options!$B:$B,$D58,Nonpoint_options!$E:$E,$G58),SUMIFS(Point_options!I:I,Point_options!$B:$B,$D58,Point_options!$E:$E,$G58)))</f>
        <v>1.2188265537659382E-3</v>
      </c>
      <c r="L58" s="168">
        <f>IF($V58="mobile",SUMIFS(Mobile_options!J:J,Mobile_options!$B:$B,$D58,Mobile_options!$E:$E,$G58),IF($V58="nonpoint",SUMIFS(Nonpoint_options!J:J,Nonpoint_options!$B:$B,$D58,Nonpoint_options!$E:$E,$G58),SUMIFS(Point_options!J:J,Point_options!$B:$B,$D58,Point_options!$E:$E,$G58)))</f>
        <v>172.83990883410075</v>
      </c>
      <c r="M58" s="153" t="s">
        <v>250</v>
      </c>
      <c r="N58" s="153" t="s">
        <v>250</v>
      </c>
      <c r="O58" s="153" t="s">
        <v>261</v>
      </c>
      <c r="P58" s="153" t="s">
        <v>250</v>
      </c>
      <c r="Q58" s="153" t="s">
        <v>251</v>
      </c>
      <c r="R58" s="153" t="s">
        <v>253</v>
      </c>
      <c r="V58" s="186" t="s">
        <v>350</v>
      </c>
      <c r="W58" s="200">
        <f t="shared" si="0"/>
        <v>51</v>
      </c>
    </row>
    <row r="59" spans="1:23" s="152" customFormat="1" x14ac:dyDescent="0.3">
      <c r="A59" s="153">
        <f>VLOOKUP(D59,'C-E_Shortlist'!$D$8:$Z$114,23,FALSE)</f>
        <v>69</v>
      </c>
      <c r="B59" s="153">
        <v>52</v>
      </c>
      <c r="C59" s="153" t="str">
        <f>VLOOKUP(D59,Shortlist_xref!$A$5:$C$77,2,FALSE)</f>
        <v>R-Select</v>
      </c>
      <c r="D59" s="153" t="s">
        <v>185</v>
      </c>
      <c r="E59" s="138" t="s">
        <v>181</v>
      </c>
      <c r="F59" s="138" t="s">
        <v>186</v>
      </c>
      <c r="G59" s="153" t="s">
        <v>12</v>
      </c>
      <c r="H59" s="157">
        <f>IF($V59="mobile",SUMIFS(Mobile_options!F:F,Mobile_options!$B:$B,$D59,Mobile_options!$E:$E,$G59),IF($V59="nonpoint",SUMIFS(Nonpoint_options!F:F,Nonpoint_options!$B:$B,$D59,Nonpoint_options!$E:$E,$G59),SUMIFS(Point_options!F:F,Point_options!$B:$B,$D59,Point_options!$E:$E,$G59)))</f>
        <v>0.01</v>
      </c>
      <c r="I59" s="154">
        <f>IF($V59="mobile",SUMIFS(Mobile_options!G:G,Mobile_options!$B:$B,$D59,Mobile_options!$E:$E,$G59),IF($V59="nonpoint",SUMIFS(Nonpoint_options!G:G,Nonpoint_options!$B:$B,$D59,Nonpoint_options!$E:$E,$G59),SUMIFS(Point_options!G:G,Point_options!$B:$B,$D59,Point_options!$E:$E,$G59)))</f>
        <v>0.1575</v>
      </c>
      <c r="J59" s="158" t="str">
        <f>IF(V59="mobile",VLOOKUP($D59&amp;$G59,Mobile_options!$X$1:$Y$150,2,FALSE),IF(EmissRed_Shortlist!V59="nonpoint",VLOOKUP($D59&amp;$G59,Nonpoint_options!$W$1:$X$150,2,FALSE),VLOOKUP($D59&amp;$G59,Point_options!$U$1:$V$150,2,FALSE)))</f>
        <v>NA</v>
      </c>
      <c r="K59" s="159">
        <f>IF($V59="mobile",SUMIFS(Mobile_options!I:I,Mobile_options!$B:$B,$D59,Mobile_options!$E:$E,$G59),IF($V59="nonpoint",SUMIFS(Nonpoint_options!I:I,Nonpoint_options!$B:$B,$D59,Nonpoint_options!$E:$E,$G59),SUMIFS(Point_options!I:I,Point_options!$B:$B,$D59,Point_options!$E:$E,$G59)))</f>
        <v>9.7099050388806174E-2</v>
      </c>
      <c r="L59" s="168">
        <f>IF($V59="mobile",SUMIFS(Mobile_options!J:J,Mobile_options!$B:$B,$D59,Mobile_options!$E:$E,$G59),IF($V59="nonpoint",SUMIFS(Nonpoint_options!J:J,Nonpoint_options!$B:$B,$D59,Nonpoint_options!$E:$E,$G59),SUMIFS(Point_options!J:J,Point_options!$B:$B,$D59,Point_options!$E:$E,$G59)))</f>
        <v>163.98253134757027</v>
      </c>
      <c r="M59" s="153" t="s">
        <v>250</v>
      </c>
      <c r="N59" s="153" t="s">
        <v>250</v>
      </c>
      <c r="O59" s="153" t="s">
        <v>250</v>
      </c>
      <c r="P59" s="153" t="s">
        <v>250</v>
      </c>
      <c r="Q59" s="153" t="s">
        <v>253</v>
      </c>
      <c r="R59" s="153" t="s">
        <v>253</v>
      </c>
      <c r="V59" s="186" t="s">
        <v>352</v>
      </c>
      <c r="W59" s="200">
        <f t="shared" si="0"/>
        <v>52</v>
      </c>
    </row>
    <row r="60" spans="1:23" s="152" customFormat="1" x14ac:dyDescent="0.3">
      <c r="A60" s="153">
        <f>VLOOKUP(D60,'C-E_Shortlist'!$D$8:$Z$114,23,FALSE)</f>
        <v>19</v>
      </c>
      <c r="B60" s="153">
        <v>53</v>
      </c>
      <c r="C60" s="153" t="str">
        <f>VLOOKUP(D60,Shortlist_xref!$A$5:$C$77,2,FALSE)</f>
        <v>C-E</v>
      </c>
      <c r="D60" s="153" t="s">
        <v>30</v>
      </c>
      <c r="E60" s="138" t="s">
        <v>28</v>
      </c>
      <c r="F60" s="138" t="s">
        <v>31</v>
      </c>
      <c r="G60" s="153" t="s">
        <v>12</v>
      </c>
      <c r="H60" s="157">
        <f>IF($V60="mobile",SUMIFS(Mobile_options!F:F,Mobile_options!$B:$B,$D60,Mobile_options!$E:$E,$G60),IF($V60="nonpoint",SUMIFS(Nonpoint_options!F:F,Nonpoint_options!$B:$B,$D60,Nonpoint_options!$E:$E,$G60),SUMIFS(Point_options!F:F,Point_options!$B:$B,$D60,Point_options!$E:$E,$G60)))</f>
        <v>0.1</v>
      </c>
      <c r="I60" s="154">
        <f>IF($V60="mobile",SUMIFS(Mobile_options!G:G,Mobile_options!$B:$B,$D60,Mobile_options!$E:$E,$G60),IF($V60="nonpoint",SUMIFS(Nonpoint_options!G:G,Nonpoint_options!$B:$B,$D60,Nonpoint_options!$E:$E,$G60),SUMIFS(Point_options!G:G,Point_options!$B:$B,$D60,Point_options!$E:$E,$G60)))</f>
        <v>0.32500000000000001</v>
      </c>
      <c r="J60" s="158">
        <f>IF(V60="mobile",VLOOKUP($D60&amp;$G60,Mobile_options!$X$1:$Y$150,2,FALSE),IF(EmissRed_Shortlist!V60="nonpoint",VLOOKUP($D60&amp;$G60,Nonpoint_options!$W$1:$X$150,2,FALSE),VLOOKUP($D60&amp;$G60,Point_options!$U$1:$V$150,2,FALSE)))</f>
        <v>587</v>
      </c>
      <c r="K60" s="159">
        <f>IF($V60="mobile",SUMIFS(Mobile_options!I:I,Mobile_options!$B:$B,$D60,Mobile_options!$E:$E,$G60),IF($V60="nonpoint",SUMIFS(Nonpoint_options!I:I,Nonpoint_options!$B:$B,$D60,Nonpoint_options!$E:$E,$G60),SUMIFS(Point_options!I:I,Point_options!$B:$B,$D60,Point_options!$E:$E,$G60)))</f>
        <v>2.2008357048433348E-4</v>
      </c>
      <c r="L60" s="168">
        <f>IF($V60="mobile",SUMIFS(Mobile_options!J:J,Mobile_options!$B:$B,$D60,Mobile_options!$E:$E,$G60),IF($V60="nonpoint",SUMIFS(Nonpoint_options!J:J,Nonpoint_options!$B:$B,$D60,Nonpoint_options!$E:$E,$G60),SUMIFS(Point_options!J:J,Point_options!$B:$B,$D60,Point_options!$E:$E,$G60)))</f>
        <v>154.11425315650001</v>
      </c>
      <c r="M60" s="153" t="s">
        <v>250</v>
      </c>
      <c r="N60" s="153" t="s">
        <v>250</v>
      </c>
      <c r="O60" s="153" t="s">
        <v>263</v>
      </c>
      <c r="P60" s="153" t="s">
        <v>250</v>
      </c>
      <c r="Q60" s="153" t="s">
        <v>251</v>
      </c>
      <c r="R60" s="153" t="s">
        <v>253</v>
      </c>
      <c r="V60" s="186" t="s">
        <v>351</v>
      </c>
      <c r="W60" s="200">
        <f t="shared" si="0"/>
        <v>53</v>
      </c>
    </row>
    <row r="61" spans="1:23" s="152" customFormat="1" ht="24.2" x14ac:dyDescent="0.3">
      <c r="A61" s="153">
        <f>VLOOKUP(D61,'C-E_Shortlist'!$D$8:$Z$114,23,FALSE)</f>
        <v>71</v>
      </c>
      <c r="B61" s="153">
        <v>54</v>
      </c>
      <c r="C61" s="153" t="str">
        <f>VLOOKUP(D61,Shortlist_xref!$A$5:$C$77,2,FALSE)</f>
        <v>R-Select</v>
      </c>
      <c r="D61" s="153" t="s">
        <v>187</v>
      </c>
      <c r="E61" s="138" t="s">
        <v>181</v>
      </c>
      <c r="F61" s="138" t="s">
        <v>188</v>
      </c>
      <c r="G61" s="153" t="s">
        <v>53</v>
      </c>
      <c r="H61" s="157">
        <f>IF($V61="mobile",SUMIFS(Mobile_options!F:F,Mobile_options!$B:$B,$D61,Mobile_options!$E:$E,$G61),IF($V61="nonpoint",SUMIFS(Nonpoint_options!F:F,Nonpoint_options!$B:$B,$D61,Nonpoint_options!$E:$E,$G61),SUMIFS(Point_options!F:F,Point_options!$B:$B,$D61,Point_options!$E:$E,$G61)))</f>
        <v>0.01</v>
      </c>
      <c r="I61" s="154">
        <f>IF($V61="mobile",SUMIFS(Mobile_options!G:G,Mobile_options!$B:$B,$D61,Mobile_options!$E:$E,$G61),IF($V61="nonpoint",SUMIFS(Nonpoint_options!G:G,Nonpoint_options!$B:$B,$D61,Nonpoint_options!$E:$E,$G61),SUMIFS(Point_options!G:G,Point_options!$B:$B,$D61,Point_options!$E:$E,$G61)))</f>
        <v>0.11699999999999999</v>
      </c>
      <c r="J61" s="158" t="str">
        <f>IF(V61="mobile",VLOOKUP($D61&amp;$G61,Mobile_options!$X$1:$Y$150,2,FALSE),IF(EmissRed_Shortlist!V61="nonpoint",VLOOKUP($D61&amp;$G61,Nonpoint_options!$W$1:$X$150,2,FALSE),VLOOKUP($D61&amp;$G61,Point_options!$U$1:$V$150,2,FALSE)))</f>
        <v>NA</v>
      </c>
      <c r="K61" s="159">
        <f>IF($V61="mobile",SUMIFS(Mobile_options!I:I,Mobile_options!$B:$B,$D61,Mobile_options!$E:$E,$G61),IF($V61="nonpoint",SUMIFS(Nonpoint_options!I:I,Nonpoint_options!$B:$B,$D61,Nonpoint_options!$E:$E,$G61),SUMIFS(Point_options!I:I,Point_options!$B:$B,$D61,Point_options!$E:$E,$G61)))</f>
        <v>8.5013330242014726E-2</v>
      </c>
      <c r="L61" s="168">
        <f>IF($V61="mobile",SUMIFS(Mobile_options!J:J,Mobile_options!$B:$B,$D61,Mobile_options!$E:$E,$G61),IF($V61="nonpoint",SUMIFS(Nonpoint_options!J:J,Nonpoint_options!$B:$B,$D61,Nonpoint_options!$E:$E,$G61),SUMIFS(Point_options!J:J,Point_options!$B:$B,$D61,Point_options!$E:$E,$G61)))</f>
        <v>150.05385545311853</v>
      </c>
      <c r="M61" s="153" t="s">
        <v>250</v>
      </c>
      <c r="N61" s="153" t="s">
        <v>250</v>
      </c>
      <c r="O61" s="153" t="s">
        <v>250</v>
      </c>
      <c r="P61" s="153" t="s">
        <v>250</v>
      </c>
      <c r="Q61" s="153" t="s">
        <v>253</v>
      </c>
      <c r="R61" s="153" t="s">
        <v>253</v>
      </c>
      <c r="V61" s="186" t="s">
        <v>352</v>
      </c>
      <c r="W61" s="200">
        <f t="shared" si="0"/>
        <v>54</v>
      </c>
    </row>
    <row r="62" spans="1:23" s="152" customFormat="1" x14ac:dyDescent="0.3">
      <c r="A62" s="153">
        <f>VLOOKUP(D62,'C-E_Shortlist'!$D$8:$Z$114,23,FALSE)</f>
        <v>24</v>
      </c>
      <c r="B62" s="153">
        <v>55</v>
      </c>
      <c r="C62" s="153" t="str">
        <f>VLOOKUP(D62,Shortlist_xref!$A$5:$C$77,2,FALSE)</f>
        <v>C-E</v>
      </c>
      <c r="D62" s="153" t="s">
        <v>123</v>
      </c>
      <c r="E62" s="138" t="s">
        <v>51</v>
      </c>
      <c r="F62" s="138" t="s">
        <v>52</v>
      </c>
      <c r="G62" s="153" t="s">
        <v>53</v>
      </c>
      <c r="H62" s="157">
        <f>IF($V62="mobile",SUMIFS(Mobile_options!F:F,Mobile_options!$B:$B,$D62,Mobile_options!$E:$E,$G62),IF($V62="nonpoint",SUMIFS(Nonpoint_options!F:F,Nonpoint_options!$B:$B,$D62,Nonpoint_options!$E:$E,$G62),SUMIFS(Point_options!F:F,Point_options!$B:$B,$D62,Point_options!$E:$E,$G62)))</f>
        <v>0.1</v>
      </c>
      <c r="I62" s="154">
        <f>IF($V62="mobile",SUMIFS(Mobile_options!G:G,Mobile_options!$B:$B,$D62,Mobile_options!$E:$E,$G62),IF($V62="nonpoint",SUMIFS(Nonpoint_options!G:G,Nonpoint_options!$B:$B,$D62,Nonpoint_options!$E:$E,$G62),SUMIFS(Point_options!G:G,Point_options!$B:$B,$D62,Point_options!$E:$E,$G62)))</f>
        <v>0.78</v>
      </c>
      <c r="J62" s="158">
        <f>IF(V62="mobile",VLOOKUP($D62&amp;$G62,Mobile_options!$X$1:$Y$150,2,FALSE),IF(EmissRed_Shortlist!V62="nonpoint",VLOOKUP($D62&amp;$G62,Nonpoint_options!$W$1:$X$150,2,FALSE),VLOOKUP($D62&amp;$G62,Point_options!$U$1:$V$150,2,FALSE)))</f>
        <v>1290</v>
      </c>
      <c r="K62" s="159">
        <f>IF($V62="mobile",SUMIFS(Mobile_options!I:I,Mobile_options!$B:$B,$D62,Mobile_options!$E:$E,$G62),IF($V62="nonpoint",SUMIFS(Nonpoint_options!I:I,Nonpoint_options!$B:$B,$D62,Nonpoint_options!$E:$E,$G62),SUMIFS(Point_options!I:I,Point_options!$B:$B,$D62,Point_options!$E:$E,$G62)))</f>
        <v>1.1887699413062336E-3</v>
      </c>
      <c r="L62" s="168">
        <f>IF($V62="mobile",SUMIFS(Mobile_options!J:J,Mobile_options!$B:$B,$D62,Mobile_options!$E:$E,$G62),IF($V62="nonpoint",SUMIFS(Nonpoint_options!J:J,Nonpoint_options!$B:$B,$D62,Nonpoint_options!$E:$E,$G62),SUMIFS(Point_options!J:J,Point_options!$B:$B,$D62,Point_options!$E:$E,$G62)))</f>
        <v>139.88356291260001</v>
      </c>
      <c r="M62" s="153" t="s">
        <v>250</v>
      </c>
      <c r="N62" s="153" t="s">
        <v>250</v>
      </c>
      <c r="O62" s="153" t="s">
        <v>263</v>
      </c>
      <c r="P62" s="153" t="s">
        <v>250</v>
      </c>
      <c r="Q62" s="153" t="s">
        <v>253</v>
      </c>
      <c r="R62" s="153" t="s">
        <v>253</v>
      </c>
      <c r="V62" s="186" t="s">
        <v>350</v>
      </c>
      <c r="W62" s="200">
        <f t="shared" si="0"/>
        <v>55</v>
      </c>
    </row>
    <row r="63" spans="1:23" s="152" customFormat="1" x14ac:dyDescent="0.3">
      <c r="A63" s="160">
        <f>VLOOKUP(D63,'C-E_Shortlist'!$D$8:$Z$114,23,FALSE)</f>
        <v>10</v>
      </c>
      <c r="B63" s="160">
        <v>56</v>
      </c>
      <c r="C63" s="160" t="str">
        <f>VLOOKUP(D63,Shortlist_xref!$A$5:$C$77,2,FALSE)</f>
        <v>C-E</v>
      </c>
      <c r="D63" s="160" t="s">
        <v>312</v>
      </c>
      <c r="E63" s="114" t="s">
        <v>115</v>
      </c>
      <c r="F63" s="114" t="s">
        <v>335</v>
      </c>
      <c r="G63" s="160" t="s">
        <v>53</v>
      </c>
      <c r="H63" s="161">
        <f>IF($V63="mobile",SUMIFS(Mobile_options!F:F,Mobile_options!$B:$B,$D63,Mobile_options!$E:$E,$G63),IF($V63="nonpoint",SUMIFS(Nonpoint_options!F:F,Nonpoint_options!$B:$B,$D63,Nonpoint_options!$E:$E,$G63),SUMIFS(Point_options!F:F,Point_options!$B:$B,$D63,Point_options!$E:$E,$G63)))</f>
        <v>0.1</v>
      </c>
      <c r="I63" s="162">
        <f>IF($V63="mobile",SUMIFS(Mobile_options!G:G,Mobile_options!$B:$B,$D63,Mobile_options!$E:$E,$G63),IF($V63="nonpoint",SUMIFS(Nonpoint_options!G:G,Nonpoint_options!$B:$B,$D63,Nonpoint_options!$E:$E,$G63),SUMIFS(Point_options!G:G,Point_options!$B:$B,$D63,Point_options!$E:$E,$G63)))</f>
        <v>0.64</v>
      </c>
      <c r="J63" s="163">
        <f>IF(V63="mobile",VLOOKUP($D63&amp;$G63,Mobile_options!$X$1:$Y$150,2,FALSE),IF(EmissRed_Shortlist!V63="nonpoint",VLOOKUP($D63&amp;$G63,Nonpoint_options!$W$1:$X$150,2,FALSE),VLOOKUP($D63&amp;$G63,Point_options!$U$1:$V$150,2,FALSE)))</f>
        <v>263</v>
      </c>
      <c r="K63" s="164">
        <f>IF($V63="mobile",SUMIFS(Mobile_options!I:I,Mobile_options!$B:$B,$D63,Mobile_options!$E:$E,$G63),IF($V63="nonpoint",SUMIFS(Nonpoint_options!I:I,Nonpoint_options!$B:$B,$D63,Nonpoint_options!$E:$E,$G63),SUMIFS(Point_options!I:I,Point_options!$B:$B,$D63,Point_options!$E:$E,$G63)))</f>
        <v>1.3970110753240613E-3</v>
      </c>
      <c r="L63" s="169">
        <f>IF($V63="mobile",SUMIFS(Mobile_options!J:J,Mobile_options!$B:$B,$D63,Mobile_options!$E:$E,$G63),IF($V63="nonpoint",SUMIFS(Nonpoint_options!J:J,Nonpoint_options!$B:$B,$D63,Nonpoint_options!$E:$E,$G63),SUMIFS(Point_options!J:J,Point_options!$B:$B,$D63,Point_options!$E:$E,$G63)))</f>
        <v>134.88202913856</v>
      </c>
      <c r="M63" s="160" t="s">
        <v>250</v>
      </c>
      <c r="N63" s="160" t="s">
        <v>250</v>
      </c>
      <c r="O63" s="160" t="s">
        <v>263</v>
      </c>
      <c r="P63" s="160" t="s">
        <v>250</v>
      </c>
      <c r="Q63" s="160" t="s">
        <v>251</v>
      </c>
      <c r="R63" s="160" t="s">
        <v>251</v>
      </c>
      <c r="V63" s="186" t="s">
        <v>350</v>
      </c>
      <c r="W63" s="200">
        <f t="shared" si="0"/>
        <v>56</v>
      </c>
    </row>
    <row r="64" spans="1:23" s="152" customFormat="1" x14ac:dyDescent="0.3">
      <c r="A64" s="153">
        <f>VLOOKUP(D64,'C-E_Shortlist'!$D$8:$Z$114,23,FALSE)</f>
        <v>11</v>
      </c>
      <c r="B64" s="153">
        <v>57</v>
      </c>
      <c r="C64" s="153" t="str">
        <f>VLOOKUP(D64,Shortlist_xref!$A$5:$C$77,2,FALSE)</f>
        <v>C-E</v>
      </c>
      <c r="D64" s="153" t="s">
        <v>116</v>
      </c>
      <c r="E64" s="138" t="s">
        <v>115</v>
      </c>
      <c r="F64" s="138" t="s">
        <v>117</v>
      </c>
      <c r="G64" s="153" t="s">
        <v>53</v>
      </c>
      <c r="H64" s="157">
        <f>IF($V64="mobile",SUMIFS(Mobile_options!F:F,Mobile_options!$B:$B,$D64,Mobile_options!$E:$E,$G64),IF($V64="nonpoint",SUMIFS(Nonpoint_options!F:F,Nonpoint_options!$B:$B,$D64,Nonpoint_options!$E:$E,$G64),SUMIFS(Point_options!F:F,Point_options!$B:$B,$D64,Point_options!$E:$E,$G64)))</f>
        <v>0.1</v>
      </c>
      <c r="I64" s="154">
        <f>IF($V64="mobile",SUMIFS(Mobile_options!G:G,Mobile_options!$B:$B,$D64,Mobile_options!$E:$E,$G64),IF($V64="nonpoint",SUMIFS(Nonpoint_options!G:G,Nonpoint_options!$B:$B,$D64,Nonpoint_options!$E:$E,$G64),SUMIFS(Point_options!G:G,Point_options!$B:$B,$D64,Point_options!$E:$E,$G64)))</f>
        <v>0.64</v>
      </c>
      <c r="J64" s="158">
        <f>IF(V64="mobile",VLOOKUP($D64&amp;$G64,Mobile_options!$X$1:$Y$150,2,FALSE),IF(EmissRed_Shortlist!V64="nonpoint",VLOOKUP($D64&amp;$G64,Nonpoint_options!$W$1:$X$150,2,FALSE),VLOOKUP($D64&amp;$G64,Point_options!$U$1:$V$150,2,FALSE)))</f>
        <v>263</v>
      </c>
      <c r="K64" s="159">
        <f>IF($V64="mobile",SUMIFS(Mobile_options!I:I,Mobile_options!$B:$B,$D64,Mobile_options!$E:$E,$G64),IF($V64="nonpoint",SUMIFS(Nonpoint_options!I:I,Nonpoint_options!$B:$B,$D64,Nonpoint_options!$E:$E,$G64),SUMIFS(Point_options!I:I,Point_options!$B:$B,$D64,Point_options!$E:$E,$G64)))</f>
        <v>1.3970110753240613E-3</v>
      </c>
      <c r="L64" s="168">
        <f>IF($V64="mobile",SUMIFS(Mobile_options!J:J,Mobile_options!$B:$B,$D64,Mobile_options!$E:$E,$G64),IF($V64="nonpoint",SUMIFS(Nonpoint_options!J:J,Nonpoint_options!$B:$B,$D64,Nonpoint_options!$E:$E,$G64),SUMIFS(Point_options!J:J,Point_options!$B:$B,$D64,Point_options!$E:$E,$G64)))</f>
        <v>134.88202913856</v>
      </c>
      <c r="M64" s="153" t="s">
        <v>250</v>
      </c>
      <c r="N64" s="153" t="s">
        <v>250</v>
      </c>
      <c r="O64" s="153" t="s">
        <v>263</v>
      </c>
      <c r="P64" s="153" t="s">
        <v>250</v>
      </c>
      <c r="Q64" s="153" t="s">
        <v>253</v>
      </c>
      <c r="R64" s="153" t="s">
        <v>253</v>
      </c>
      <c r="V64" s="186" t="s">
        <v>350</v>
      </c>
      <c r="W64" s="200">
        <f t="shared" si="0"/>
        <v>57</v>
      </c>
    </row>
    <row r="65" spans="1:23" s="152" customFormat="1" x14ac:dyDescent="0.3">
      <c r="A65" s="153">
        <f>VLOOKUP(D65,'C-E_Shortlist'!$D$8:$Z$114,23,FALSE)</f>
        <v>44</v>
      </c>
      <c r="B65" s="153">
        <v>58</v>
      </c>
      <c r="C65" s="153" t="str">
        <f>VLOOKUP(D65,Shortlist_xref!$A$5:$C$77,2,FALSE)</f>
        <v>R-Select</v>
      </c>
      <c r="D65" s="153" t="s">
        <v>160</v>
      </c>
      <c r="E65" s="138" t="s">
        <v>161</v>
      </c>
      <c r="F65" s="138" t="s">
        <v>162</v>
      </c>
      <c r="G65" s="153" t="s">
        <v>12</v>
      </c>
      <c r="H65" s="157">
        <f>IF($V65="mobile",SUMIFS(Mobile_options!F:F,Mobile_options!$B:$B,$D65,Mobile_options!$E:$E,$G65),IF($V65="nonpoint",SUMIFS(Nonpoint_options!F:F,Nonpoint_options!$B:$B,$D65,Nonpoint_options!$E:$E,$G65),SUMIFS(Point_options!F:F,Point_options!$B:$B,$D65,Point_options!$E:$E,$G65)))</f>
        <v>0.01</v>
      </c>
      <c r="I65" s="154">
        <f>IF($V65="mobile",SUMIFS(Mobile_options!G:G,Mobile_options!$B:$B,$D65,Mobile_options!$E:$E,$G65),IF($V65="nonpoint",SUMIFS(Nonpoint_options!G:G,Nonpoint_options!$B:$B,$D65,Nonpoint_options!$E:$E,$G65),SUMIFS(Point_options!G:G,Point_options!$B:$B,$D65,Point_options!$E:$E,$G65)))</f>
        <v>0.185</v>
      </c>
      <c r="J65" s="158" t="str">
        <f>IF(V65="mobile",VLOOKUP($D65&amp;$G65,Mobile_options!$X$1:$Y$150,2,FALSE),IF(EmissRed_Shortlist!V65="nonpoint",VLOOKUP($D65&amp;$G65,Nonpoint_options!$W$1:$X$150,2,FALSE),VLOOKUP($D65&amp;$G65,Point_options!$U$1:$V$150,2,FALSE)))</f>
        <v>$4,500/ ton NOx</v>
      </c>
      <c r="K65" s="159">
        <f>IF($V65="mobile",SUMIFS(Mobile_options!I:I,Mobile_options!$B:$B,$D65,Mobile_options!$E:$E,$G65),IF($V65="nonpoint",SUMIFS(Nonpoint_options!I:I,Nonpoint_options!$B:$B,$D65,Nonpoint_options!$E:$E,$G65),SUMIFS(Point_options!I:I,Point_options!$B:$B,$D65,Point_options!$E:$E,$G65)))</f>
        <v>6.7174878183986653E-2</v>
      </c>
      <c r="L65" s="168">
        <f>IF($V65="mobile",SUMIFS(Mobile_options!J:J,Mobile_options!$B:$B,$D65,Mobile_options!$E:$E,$G65),IF($V65="nonpoint",SUMIFS(Nonpoint_options!J:J,Nonpoint_options!$B:$B,$D65,Nonpoint_options!$E:$E,$G65),SUMIFS(Point_options!J:J,Point_options!$B:$B,$D65,Point_options!$E:$E,$G65)))</f>
        <v>133.25412485833243</v>
      </c>
      <c r="M65" s="153" t="s">
        <v>250</v>
      </c>
      <c r="N65" s="153" t="s">
        <v>250</v>
      </c>
      <c r="O65" s="153" t="s">
        <v>250</v>
      </c>
      <c r="P65" s="153" t="s">
        <v>250</v>
      </c>
      <c r="Q65" s="153" t="s">
        <v>251</v>
      </c>
      <c r="R65" s="153" t="s">
        <v>251</v>
      </c>
      <c r="V65" s="186" t="s">
        <v>352</v>
      </c>
      <c r="W65" s="200">
        <f t="shared" si="0"/>
        <v>58</v>
      </c>
    </row>
    <row r="66" spans="1:23" s="152" customFormat="1" ht="24.2" x14ac:dyDescent="0.3">
      <c r="A66" s="153">
        <f>VLOOKUP(D66,'C-E_Shortlist'!$D$8:$Z$114,23,FALSE)</f>
        <v>55</v>
      </c>
      <c r="B66" s="153">
        <v>59</v>
      </c>
      <c r="C66" s="153" t="str">
        <f>VLOOKUP(D66,Shortlist_xref!$A$5:$C$77,2,FALSE)</f>
        <v>R-Select</v>
      </c>
      <c r="D66" s="153" t="s">
        <v>189</v>
      </c>
      <c r="E66" s="138" t="s">
        <v>181</v>
      </c>
      <c r="F66" s="138" t="s">
        <v>208</v>
      </c>
      <c r="G66" s="153" t="s">
        <v>12</v>
      </c>
      <c r="H66" s="157">
        <f>IF($V66="mobile",SUMIFS(Mobile_options!F:F,Mobile_options!$B:$B,$D66,Mobile_options!$E:$E,$G66),IF($V66="nonpoint",SUMIFS(Nonpoint_options!F:F,Nonpoint_options!$B:$B,$D66,Nonpoint_options!$E:$E,$G66),SUMIFS(Point_options!F:F,Point_options!$B:$B,$D66,Point_options!$E:$E,$G66)))</f>
        <v>0.01</v>
      </c>
      <c r="I66" s="154">
        <f>IF($V66="mobile",SUMIFS(Mobile_options!G:G,Mobile_options!$B:$B,$D66,Mobile_options!$E:$E,$G66),IF($V66="nonpoint",SUMIFS(Nonpoint_options!G:G,Nonpoint_options!$B:$B,$D66,Nonpoint_options!$E:$E,$G66),SUMIFS(Point_options!G:G,Point_options!$B:$B,$D66,Point_options!$E:$E,$G66)))</f>
        <v>0.126</v>
      </c>
      <c r="J66" s="158" t="str">
        <f>IF(V66="mobile",VLOOKUP($D66&amp;$G66,Mobile_options!$X$1:$Y$150,2,FALSE),IF(EmissRed_Shortlist!V66="nonpoint",VLOOKUP($D66&amp;$G66,Nonpoint_options!$W$1:$X$150,2,FALSE),VLOOKUP($D66&amp;$G66,Point_options!$U$1:$V$150,2,FALSE)))</f>
        <v>$32,000 per ton of NOx and VOC</v>
      </c>
      <c r="K66" s="159">
        <f>IF($V66="mobile",SUMIFS(Mobile_options!I:I,Mobile_options!$B:$B,$D66,Mobile_options!$E:$E,$G66),IF($V66="nonpoint",SUMIFS(Nonpoint_options!I:I,Nonpoint_options!$B:$B,$D66,Nonpoint_options!$E:$E,$G66),SUMIFS(Point_options!I:I,Point_options!$B:$B,$D66,Point_options!$E:$E,$G66)))</f>
        <v>9.7099050388806174E-2</v>
      </c>
      <c r="L66" s="168">
        <f>IF($V66="mobile",SUMIFS(Mobile_options!J:J,Mobile_options!$B:$B,$D66,Mobile_options!$E:$E,$G66),IF($V66="nonpoint",SUMIFS(Nonpoint_options!J:J,Nonpoint_options!$B:$B,$D66,Nonpoint_options!$E:$E,$G66),SUMIFS(Point_options!J:J,Point_options!$B:$B,$D66,Point_options!$E:$E,$G66)))</f>
        <v>131.18602507805622</v>
      </c>
      <c r="M66" s="153" t="s">
        <v>250</v>
      </c>
      <c r="N66" s="153" t="s">
        <v>250</v>
      </c>
      <c r="O66" s="153" t="s">
        <v>250</v>
      </c>
      <c r="P66" s="153" t="s">
        <v>250</v>
      </c>
      <c r="Q66" s="153" t="s">
        <v>253</v>
      </c>
      <c r="R66" s="153" t="s">
        <v>253</v>
      </c>
      <c r="V66" s="186" t="s">
        <v>352</v>
      </c>
      <c r="W66" s="200">
        <f t="shared" si="0"/>
        <v>59</v>
      </c>
    </row>
    <row r="67" spans="1:23" s="152" customFormat="1" x14ac:dyDescent="0.3">
      <c r="A67" s="153">
        <f>VLOOKUP(D67,'C-E_Shortlist'!$D$8:$Z$114,23,FALSE)</f>
        <v>61</v>
      </c>
      <c r="B67" s="153">
        <v>60</v>
      </c>
      <c r="C67" s="153" t="str">
        <f>VLOOKUP(D67,Shortlist_xref!$A$5:$C$77,2,FALSE)</f>
        <v>R-Select</v>
      </c>
      <c r="D67" s="153" t="s">
        <v>183</v>
      </c>
      <c r="E67" s="138" t="s">
        <v>181</v>
      </c>
      <c r="F67" s="138" t="s">
        <v>184</v>
      </c>
      <c r="G67" s="153" t="s">
        <v>12</v>
      </c>
      <c r="H67" s="157">
        <f>IF($V67="mobile",SUMIFS(Mobile_options!F:F,Mobile_options!$B:$B,$D67,Mobile_options!$E:$E,$G67),IF($V67="nonpoint",SUMIFS(Nonpoint_options!F:F,Nonpoint_options!$B:$B,$D67,Nonpoint_options!$E:$E,$G67),SUMIFS(Point_options!F:F,Point_options!$B:$B,$D67,Point_options!$E:$E,$G67)))</f>
        <v>0.01</v>
      </c>
      <c r="I67" s="154">
        <f>IF($V67="mobile",SUMIFS(Mobile_options!G:G,Mobile_options!$B:$B,$D67,Mobile_options!$E:$E,$G67),IF($V67="nonpoint",SUMIFS(Nonpoint_options!G:G,Nonpoint_options!$B:$B,$D67,Nonpoint_options!$E:$E,$G67),SUMIFS(Point_options!G:G,Point_options!$B:$B,$D67,Point_options!$E:$E,$G67)))</f>
        <v>0.1255</v>
      </c>
      <c r="J67" s="158" t="str">
        <f>IF(V67="mobile",VLOOKUP($D67&amp;$G67,Mobile_options!$X$1:$Y$150,2,FALSE),IF(EmissRed_Shortlist!V67="nonpoint",VLOOKUP($D67&amp;$G67,Nonpoint_options!$W$1:$X$150,2,FALSE),VLOOKUP($D67&amp;$G67,Point_options!$U$1:$V$150,2,FALSE)))</f>
        <v>$222k - 1.5M/ton NOx</v>
      </c>
      <c r="K67" s="159">
        <f>IF($V67="mobile",SUMIFS(Mobile_options!I:I,Mobile_options!$B:$B,$D67,Mobile_options!$E:$E,$G67),IF($V67="nonpoint",SUMIFS(Nonpoint_options!I:I,Nonpoint_options!$B:$B,$D67,Nonpoint_options!$E:$E,$G67),SUMIFS(Point_options!I:I,Point_options!$B:$B,$D67,Point_options!$E:$E,$G67)))</f>
        <v>9.7099050388806174E-2</v>
      </c>
      <c r="L67" s="168">
        <f>IF($V67="mobile",SUMIFS(Mobile_options!J:J,Mobile_options!$B:$B,$D67,Mobile_options!$E:$E,$G67),IF($V67="nonpoint",SUMIFS(Nonpoint_options!J:J,Nonpoint_options!$B:$B,$D67,Nonpoint_options!$E:$E,$G67),SUMIFS(Point_options!J:J,Point_options!$B:$B,$D67,Point_options!$E:$E,$G67)))</f>
        <v>130.66544561346078</v>
      </c>
      <c r="M67" s="153" t="s">
        <v>250</v>
      </c>
      <c r="N67" s="153" t="s">
        <v>250</v>
      </c>
      <c r="O67" s="153" t="s">
        <v>250</v>
      </c>
      <c r="P67" s="153" t="s">
        <v>250</v>
      </c>
      <c r="Q67" s="153" t="s">
        <v>253</v>
      </c>
      <c r="R67" s="153" t="s">
        <v>251</v>
      </c>
      <c r="V67" s="186" t="s">
        <v>352</v>
      </c>
      <c r="W67" s="200">
        <f t="shared" si="0"/>
        <v>60</v>
      </c>
    </row>
    <row r="68" spans="1:23" s="152" customFormat="1" x14ac:dyDescent="0.3">
      <c r="A68" s="153">
        <f>VLOOKUP(D68,'C-E_Shortlist'!$D$8:$Z$114,23,FALSE)</f>
        <v>36</v>
      </c>
      <c r="B68" s="153">
        <v>61</v>
      </c>
      <c r="C68" s="153" t="str">
        <f>VLOOKUP(D68,Shortlist_xref!$A$5:$C$77,2,FALSE)</f>
        <v>CE</v>
      </c>
      <c r="D68" s="153" t="s">
        <v>172</v>
      </c>
      <c r="E68" s="138" t="s">
        <v>171</v>
      </c>
      <c r="F68" s="138" t="s">
        <v>336</v>
      </c>
      <c r="G68" s="153" t="s">
        <v>12</v>
      </c>
      <c r="H68" s="157">
        <f>IF($V68="mobile",SUMIFS(Mobile_options!F:F,Mobile_options!$B:$B,$D68,Mobile_options!$E:$E,$G68),IF($V68="nonpoint",SUMIFS(Nonpoint_options!F:F,Nonpoint_options!$B:$B,$D68,Nonpoint_options!$E:$E,$G68),SUMIFS(Point_options!F:F,Point_options!$B:$B,$D68,Point_options!$E:$E,$G68)))</f>
        <v>0.1</v>
      </c>
      <c r="I68" s="154">
        <f>IF($V68="mobile",SUMIFS(Mobile_options!G:G,Mobile_options!$B:$B,$D68,Mobile_options!$E:$E,$G68),IF($V68="nonpoint",SUMIFS(Nonpoint_options!G:G,Nonpoint_options!$B:$B,$D68,Nonpoint_options!$E:$E,$G68),SUMIFS(Point_options!G:G,Point_options!$B:$B,$D68,Point_options!$E:$E,$G68)))</f>
        <v>0.1125</v>
      </c>
      <c r="J68" s="158" t="str">
        <f>IF(V68="mobile",VLOOKUP($D68&amp;$G68,Mobile_options!$X$1:$Y$150,2,FALSE),IF(EmissRed_Shortlist!V68="nonpoint",VLOOKUP($D68&amp;$G68,Nonpoint_options!$W$1:$X$150,2,FALSE),VLOOKUP($D68&amp;$G68,Point_options!$U$1:$V$150,2,FALSE)))</f>
        <v>$3,250/ ton NOx</v>
      </c>
      <c r="K68" s="159">
        <f>IF($V68="mobile",SUMIFS(Mobile_options!I:I,Mobile_options!$B:$B,$D68,Mobile_options!$E:$E,$G68),IF($V68="nonpoint",SUMIFS(Nonpoint_options!I:I,Nonpoint_options!$B:$B,$D68,Nonpoint_options!$E:$E,$G68),SUMIFS(Point_options!I:I,Point_options!$B:$B,$D68,Point_options!$E:$E,$G68)))</f>
        <v>1.0139128401772168E-2</v>
      </c>
      <c r="L68" s="168">
        <f>IF($V68="mobile",SUMIFS(Mobile_options!J:J,Mobile_options!$B:$B,$D68,Mobile_options!$E:$E,$G68),IF($V68="nonpoint",SUMIFS(Nonpoint_options!J:J,Nonpoint_options!$B:$B,$D68,Nonpoint_options!$E:$E,$G68),SUMIFS(Point_options!J:J,Point_options!$B:$B,$D68,Point_options!$E:$E,$G68)))</f>
        <v>122.30809190078625</v>
      </c>
      <c r="M68" s="153" t="s">
        <v>250</v>
      </c>
      <c r="N68" s="153" t="s">
        <v>250</v>
      </c>
      <c r="O68" s="153" t="s">
        <v>250</v>
      </c>
      <c r="P68" s="153" t="s">
        <v>250</v>
      </c>
      <c r="Q68" s="153" t="s">
        <v>251</v>
      </c>
      <c r="R68" s="153" t="s">
        <v>251</v>
      </c>
      <c r="V68" s="186" t="s">
        <v>352</v>
      </c>
      <c r="W68" s="200">
        <f t="shared" si="0"/>
        <v>61</v>
      </c>
    </row>
    <row r="69" spans="1:23" s="152" customFormat="1" x14ac:dyDescent="0.3">
      <c r="A69" s="153">
        <f>VLOOKUP(D69,'C-E_Shortlist'!$D$8:$Z$114,23,FALSE)</f>
        <v>69</v>
      </c>
      <c r="B69" s="153">
        <v>62</v>
      </c>
      <c r="C69" s="153" t="str">
        <f>VLOOKUP(D69,Shortlist_xref!$A$5:$C$77,2,FALSE)</f>
        <v>R-Select</v>
      </c>
      <c r="D69" s="153" t="s">
        <v>185</v>
      </c>
      <c r="E69" s="138" t="s">
        <v>181</v>
      </c>
      <c r="F69" s="138" t="s">
        <v>186</v>
      </c>
      <c r="G69" s="153" t="s">
        <v>53</v>
      </c>
      <c r="H69" s="157">
        <f>IF($V69="mobile",SUMIFS(Mobile_options!F:F,Mobile_options!$B:$B,$D69,Mobile_options!$E:$E,$G69),IF($V69="nonpoint",SUMIFS(Nonpoint_options!F:F,Nonpoint_options!$B:$B,$D69,Nonpoint_options!$E:$E,$G69),SUMIFS(Point_options!F:F,Point_options!$B:$B,$D69,Point_options!$E:$E,$G69)))</f>
        <v>0.01</v>
      </c>
      <c r="I69" s="154">
        <f>IF($V69="mobile",SUMIFS(Mobile_options!G:G,Mobile_options!$B:$B,$D69,Mobile_options!$E:$E,$G69),IF($V69="nonpoint",SUMIFS(Nonpoint_options!G:G,Nonpoint_options!$B:$B,$D69,Nonpoint_options!$E:$E,$G69),SUMIFS(Point_options!G:G,Point_options!$B:$B,$D69,Point_options!$E:$E,$G69)))</f>
        <v>9.4499999999999987E-2</v>
      </c>
      <c r="J69" s="158" t="str">
        <f>IF(V69="mobile",VLOOKUP($D69&amp;$G69,Mobile_options!$X$1:$Y$150,2,FALSE),IF(EmissRed_Shortlist!V69="nonpoint",VLOOKUP($D69&amp;$G69,Nonpoint_options!$W$1:$X$150,2,FALSE),VLOOKUP($D69&amp;$G69,Point_options!$U$1:$V$150,2,FALSE)))</f>
        <v>NA</v>
      </c>
      <c r="K69" s="159">
        <f>IF($V69="mobile",SUMIFS(Mobile_options!I:I,Mobile_options!$B:$B,$D69,Mobile_options!$E:$E,$G69),IF($V69="nonpoint",SUMIFS(Nonpoint_options!I:I,Nonpoint_options!$B:$B,$D69,Nonpoint_options!$E:$E,$G69),SUMIFS(Point_options!I:I,Point_options!$B:$B,$D69,Point_options!$E:$E,$G69)))</f>
        <v>8.5013330242014726E-2</v>
      </c>
      <c r="L69" s="168">
        <f>IF($V69="mobile",SUMIFS(Mobile_options!J:J,Mobile_options!$B:$B,$D69,Mobile_options!$E:$E,$G69),IF($V69="nonpoint",SUMIFS(Nonpoint_options!J:J,Nonpoint_options!$B:$B,$D69,Nonpoint_options!$E:$E,$G69),SUMIFS(Point_options!J:J,Point_options!$B:$B,$D69,Point_options!$E:$E,$G69)))</f>
        <v>121.19734478905725</v>
      </c>
      <c r="M69" s="153" t="s">
        <v>250</v>
      </c>
      <c r="N69" s="153" t="s">
        <v>250</v>
      </c>
      <c r="O69" s="153" t="s">
        <v>250</v>
      </c>
      <c r="P69" s="153" t="s">
        <v>250</v>
      </c>
      <c r="Q69" s="153" t="s">
        <v>253</v>
      </c>
      <c r="R69" s="153" t="s">
        <v>253</v>
      </c>
      <c r="V69" s="186" t="s">
        <v>352</v>
      </c>
      <c r="W69" s="200">
        <f t="shared" si="0"/>
        <v>62</v>
      </c>
    </row>
    <row r="70" spans="1:23" s="152" customFormat="1" x14ac:dyDescent="0.3">
      <c r="A70" s="153">
        <f>VLOOKUP(D70,'C-E_Shortlist'!$D$8:$Z$114,23,FALSE)</f>
        <v>14</v>
      </c>
      <c r="B70" s="153">
        <v>63</v>
      </c>
      <c r="C70" s="153" t="str">
        <f>VLOOKUP(D70,Shortlist_xref!$A$5:$C$77,2,FALSE)</f>
        <v>C-E</v>
      </c>
      <c r="D70" s="153" t="s">
        <v>27</v>
      </c>
      <c r="E70" s="138" t="s">
        <v>28</v>
      </c>
      <c r="F70" s="138" t="s">
        <v>29</v>
      </c>
      <c r="G70" s="153" t="s">
        <v>12</v>
      </c>
      <c r="H70" s="157">
        <f>IF($V70="mobile",SUMIFS(Mobile_options!F:F,Mobile_options!$B:$B,$D70,Mobile_options!$E:$E,$G70),IF($V70="nonpoint",SUMIFS(Nonpoint_options!F:F,Nonpoint_options!$B:$B,$D70,Nonpoint_options!$E:$E,$G70),SUMIFS(Point_options!F:F,Point_options!$B:$B,$D70,Point_options!$E:$E,$G70)))</f>
        <v>0.1</v>
      </c>
      <c r="I70" s="154">
        <f>IF($V70="mobile",SUMIFS(Mobile_options!G:G,Mobile_options!$B:$B,$D70,Mobile_options!$E:$E,$G70),IF($V70="nonpoint",SUMIFS(Nonpoint_options!G:G,Nonpoint_options!$B:$B,$D70,Nonpoint_options!$E:$E,$G70),SUMIFS(Point_options!G:G,Point_options!$B:$B,$D70,Point_options!$E:$E,$G70)))</f>
        <v>0.23</v>
      </c>
      <c r="J70" s="158">
        <f>IF(V70="mobile",VLOOKUP($D70&amp;$G70,Mobile_options!$X$1:$Y$150,2,FALSE),IF(EmissRed_Shortlist!V70="nonpoint",VLOOKUP($D70&amp;$G70,Nonpoint_options!$W$1:$X$150,2,FALSE),VLOOKUP($D70&amp;$G70,Point_options!$U$1:$V$150,2,FALSE)))</f>
        <v>407</v>
      </c>
      <c r="K70" s="159">
        <f>IF($V70="mobile",SUMIFS(Mobile_options!I:I,Mobile_options!$B:$B,$D70,Mobile_options!$E:$E,$G70),IF($V70="nonpoint",SUMIFS(Nonpoint_options!I:I,Nonpoint_options!$B:$B,$D70,Nonpoint_options!$E:$E,$G70),SUMIFS(Point_options!I:I,Point_options!$B:$B,$D70,Point_options!$E:$E,$G70)))</f>
        <v>2.2008357048433348E-4</v>
      </c>
      <c r="L70" s="168">
        <f>IF($V70="mobile",SUMIFS(Mobile_options!J:J,Mobile_options!$B:$B,$D70,Mobile_options!$E:$E,$G70),IF($V70="nonpoint",SUMIFS(Nonpoint_options!J:J,Nonpoint_options!$B:$B,$D70,Nonpoint_options!$E:$E,$G70),SUMIFS(Point_options!J:J,Point_options!$B:$B,$D70,Point_options!$E:$E,$G70)))</f>
        <v>109.06547146460001</v>
      </c>
      <c r="M70" s="153" t="s">
        <v>250</v>
      </c>
      <c r="N70" s="153" t="s">
        <v>250</v>
      </c>
      <c r="O70" s="153" t="s">
        <v>263</v>
      </c>
      <c r="P70" s="153" t="s">
        <v>250</v>
      </c>
      <c r="Q70" s="153" t="s">
        <v>251</v>
      </c>
      <c r="R70" s="153" t="s">
        <v>253</v>
      </c>
      <c r="V70" s="186" t="s">
        <v>351</v>
      </c>
      <c r="W70" s="200">
        <f t="shared" si="0"/>
        <v>63</v>
      </c>
    </row>
    <row r="71" spans="1:23" s="152" customFormat="1" ht="24.2" x14ac:dyDescent="0.3">
      <c r="A71" s="153">
        <f>VLOOKUP(D71,'C-E_Shortlist'!$D$8:$Z$114,23,FALSE)</f>
        <v>50</v>
      </c>
      <c r="B71" s="153">
        <v>64</v>
      </c>
      <c r="C71" s="153" t="str">
        <f>VLOOKUP(D71,Shortlist_xref!$A$5:$C$77,2,FALSE)</f>
        <v>R-Select</v>
      </c>
      <c r="D71" s="153" t="s">
        <v>196</v>
      </c>
      <c r="E71" s="138" t="s">
        <v>197</v>
      </c>
      <c r="F71" s="138" t="s">
        <v>198</v>
      </c>
      <c r="G71" s="153" t="s">
        <v>12</v>
      </c>
      <c r="H71" s="157">
        <f>IF($V71="mobile",SUMIFS(Mobile_options!F:F,Mobile_options!$B:$B,$D71,Mobile_options!$E:$E,$G71),IF($V71="nonpoint",SUMIFS(Nonpoint_options!F:F,Nonpoint_options!$B:$B,$D71,Nonpoint_options!$E:$E,$G71),SUMIFS(Point_options!F:F,Point_options!$B:$B,$D71,Point_options!$E:$E,$G71)))</f>
        <v>0.01</v>
      </c>
      <c r="I71" s="154">
        <f>IF($V71="mobile",SUMIFS(Mobile_options!G:G,Mobile_options!$B:$B,$D71,Mobile_options!$E:$E,$G71),IF($V71="nonpoint",SUMIFS(Nonpoint_options!G:G,Nonpoint_options!$B:$B,$D71,Nonpoint_options!$E:$E,$G71),SUMIFS(Point_options!G:G,Point_options!$B:$B,$D71,Point_options!$E:$E,$G71)))</f>
        <v>1</v>
      </c>
      <c r="J71" s="158" t="str">
        <f>IF(V71="mobile",VLOOKUP($D71&amp;$G71,Mobile_options!$X$1:$Y$150,2,FALSE),IF(EmissRed_Shortlist!V71="nonpoint",VLOOKUP($D71&amp;$G71,Nonpoint_options!$W$1:$X$150,2,FALSE),VLOOKUP($D71&amp;$G71,Point_options!$U$1:$V$150,2,FALSE)))</f>
        <v>$16,000/ton NOx+VOC</v>
      </c>
      <c r="K71" s="159">
        <f>IF($V71="mobile",SUMIFS(Mobile_options!I:I,Mobile_options!$B:$B,$D71,Mobile_options!$E:$E,$G71),IF($V71="nonpoint",SUMIFS(Nonpoint_options!I:I,Nonpoint_options!$B:$B,$D71,Nonpoint_options!$E:$E,$G71),SUMIFS(Point_options!I:I,Point_options!$B:$B,$D71,Point_options!$E:$E,$G71)))</f>
        <v>9.6364916194584833E-3</v>
      </c>
      <c r="L71" s="168">
        <f>IF($V71="mobile",SUMIFS(Mobile_options!J:J,Mobile_options!$B:$B,$D71,Mobile_options!$E:$E,$G71),IF($V71="nonpoint",SUMIFS(Nonpoint_options!J:J,Nonpoint_options!$B:$B,$D71,Nonpoint_options!$E:$E,$G71),SUMIFS(Point_options!J:J,Point_options!$B:$B,$D71,Point_options!$E:$E,$G71)))</f>
        <v>103.32870667115543</v>
      </c>
      <c r="M71" s="153" t="s">
        <v>250</v>
      </c>
      <c r="N71" s="153" t="s">
        <v>250</v>
      </c>
      <c r="O71" s="153" t="s">
        <v>250</v>
      </c>
      <c r="P71" s="153" t="s">
        <v>250</v>
      </c>
      <c r="Q71" s="153" t="s">
        <v>251</v>
      </c>
      <c r="R71" s="153" t="s">
        <v>251</v>
      </c>
      <c r="V71" s="186" t="s">
        <v>352</v>
      </c>
      <c r="W71" s="200">
        <f t="shared" si="0"/>
        <v>64</v>
      </c>
    </row>
    <row r="72" spans="1:23" s="152" customFormat="1" x14ac:dyDescent="0.3">
      <c r="A72" s="153">
        <f>VLOOKUP(D72,'C-E_Shortlist'!$D$8:$Z$114,23,FALSE)</f>
        <v>61</v>
      </c>
      <c r="B72" s="153">
        <v>65</v>
      </c>
      <c r="C72" s="153" t="str">
        <f>VLOOKUP(D72,Shortlist_xref!$A$5:$C$77,2,FALSE)</f>
        <v>R-Select</v>
      </c>
      <c r="D72" s="153" t="s">
        <v>183</v>
      </c>
      <c r="E72" s="138" t="s">
        <v>181</v>
      </c>
      <c r="F72" s="138" t="s">
        <v>184</v>
      </c>
      <c r="G72" s="153" t="s">
        <v>53</v>
      </c>
      <c r="H72" s="157">
        <f>IF($V72="mobile",SUMIFS(Mobile_options!F:F,Mobile_options!$B:$B,$D72,Mobile_options!$E:$E,$G72),IF($V72="nonpoint",SUMIFS(Nonpoint_options!F:F,Nonpoint_options!$B:$B,$D72,Nonpoint_options!$E:$E,$G72),SUMIFS(Point_options!F:F,Point_options!$B:$B,$D72,Point_options!$E:$E,$G72)))</f>
        <v>0.01</v>
      </c>
      <c r="I72" s="154">
        <f>IF($V72="mobile",SUMIFS(Mobile_options!G:G,Mobile_options!$B:$B,$D72,Mobile_options!$E:$E,$G72),IF($V72="nonpoint",SUMIFS(Nonpoint_options!G:G,Nonpoint_options!$B:$B,$D72,Nonpoint_options!$E:$E,$G72),SUMIFS(Point_options!G:G,Point_options!$B:$B,$D72,Point_options!$E:$E,$G72)))</f>
        <v>7.5500000000000012E-2</v>
      </c>
      <c r="J72" s="158" t="str">
        <f>IF(V72="mobile",VLOOKUP($D72&amp;$G72,Mobile_options!$X$1:$Y$150,2,FALSE),IF(EmissRed_Shortlist!V72="nonpoint",VLOOKUP($D72&amp;$G72,Nonpoint_options!$W$1:$X$150,2,FALSE),VLOOKUP($D72&amp;$G72,Point_options!$U$1:$V$150,2,FALSE)))</f>
        <v>$130k - 1.5M/ton VOC</v>
      </c>
      <c r="K72" s="159">
        <f>IF($V72="mobile",SUMIFS(Mobile_options!I:I,Mobile_options!$B:$B,$D72,Mobile_options!$E:$E,$G72),IF($V72="nonpoint",SUMIFS(Nonpoint_options!I:I,Nonpoint_options!$B:$B,$D72,Nonpoint_options!$E:$E,$G72),SUMIFS(Point_options!I:I,Point_options!$B:$B,$D72,Point_options!$E:$E,$G72)))</f>
        <v>8.5013330242014726E-2</v>
      </c>
      <c r="L72" s="168">
        <f>IF($V72="mobile",SUMIFS(Mobile_options!J:J,Mobile_options!$B:$B,$D72,Mobile_options!$E:$E,$G72),IF($V72="nonpoint",SUMIFS(Nonpoint_options!J:J,Nonpoint_options!$B:$B,$D72,Nonpoint_options!$E:$E,$G72),SUMIFS(Point_options!J:J,Point_options!$B:$B,$D72,Point_options!$E:$E,$G72)))</f>
        <v>96.829624672738902</v>
      </c>
      <c r="M72" s="153" t="s">
        <v>250</v>
      </c>
      <c r="N72" s="153" t="s">
        <v>250</v>
      </c>
      <c r="O72" s="153" t="s">
        <v>250</v>
      </c>
      <c r="P72" s="153" t="s">
        <v>250</v>
      </c>
      <c r="Q72" s="153" t="s">
        <v>253</v>
      </c>
      <c r="R72" s="153" t="s">
        <v>251</v>
      </c>
      <c r="V72" s="186" t="s">
        <v>352</v>
      </c>
      <c r="W72" s="200">
        <f t="shared" si="0"/>
        <v>65</v>
      </c>
    </row>
    <row r="73" spans="1:23" s="152" customFormat="1" ht="24.2" x14ac:dyDescent="0.3">
      <c r="A73" s="153">
        <f>VLOOKUP(D73,'C-E_Shortlist'!$D$8:$Z$114,23,FALSE)</f>
        <v>55</v>
      </c>
      <c r="B73" s="153">
        <v>66</v>
      </c>
      <c r="C73" s="153" t="str">
        <f>VLOOKUP(D73,Shortlist_xref!$A$5:$C$77,2,FALSE)</f>
        <v>R-Select</v>
      </c>
      <c r="D73" s="153" t="s">
        <v>189</v>
      </c>
      <c r="E73" s="138" t="s">
        <v>181</v>
      </c>
      <c r="F73" s="138" t="s">
        <v>208</v>
      </c>
      <c r="G73" s="153" t="s">
        <v>53</v>
      </c>
      <c r="H73" s="157">
        <f>IF($V73="mobile",SUMIFS(Mobile_options!F:F,Mobile_options!$B:$B,$D73,Mobile_options!$E:$E,$G73),IF($V73="nonpoint",SUMIFS(Nonpoint_options!F:F,Nonpoint_options!$B:$B,$D73,Nonpoint_options!$E:$E,$G73),SUMIFS(Point_options!F:F,Point_options!$B:$B,$D73,Point_options!$E:$E,$G73)))</f>
        <v>0.01</v>
      </c>
      <c r="I73" s="154">
        <f>IF($V73="mobile",SUMIFS(Mobile_options!G:G,Mobile_options!$B:$B,$D73,Mobile_options!$E:$E,$G73),IF($V73="nonpoint",SUMIFS(Nonpoint_options!G:G,Nonpoint_options!$B:$B,$D73,Nonpoint_options!$E:$E,$G73),SUMIFS(Point_options!G:G,Point_options!$B:$B,$D73,Point_options!$E:$E,$G73)))</f>
        <v>7.5499999999999998E-2</v>
      </c>
      <c r="J73" s="158" t="str">
        <f>IF(V73="mobile",VLOOKUP($D73&amp;$G73,Mobile_options!$X$1:$Y$150,2,FALSE),IF(EmissRed_Shortlist!V73="nonpoint",VLOOKUP($D73&amp;$G73,Nonpoint_options!$W$1:$X$150,2,FALSE),VLOOKUP($D73&amp;$G73,Point_options!$U$1:$V$150,2,FALSE)))</f>
        <v>$5,800-176,000/ton VOC</v>
      </c>
      <c r="K73" s="159">
        <f>IF($V73="mobile",SUMIFS(Mobile_options!I:I,Mobile_options!$B:$B,$D73,Mobile_options!$E:$E,$G73),IF($V73="nonpoint",SUMIFS(Nonpoint_options!I:I,Nonpoint_options!$B:$B,$D73,Nonpoint_options!$E:$E,$G73),SUMIFS(Point_options!I:I,Point_options!$B:$B,$D73,Point_options!$E:$E,$G73)))</f>
        <v>8.5013330242014726E-2</v>
      </c>
      <c r="L73" s="168">
        <f>IF($V73="mobile",SUMIFS(Mobile_options!J:J,Mobile_options!$B:$B,$D73,Mobile_options!$E:$E,$G73),IF($V73="nonpoint",SUMIFS(Nonpoint_options!J:J,Nonpoint_options!$B:$B,$D73,Nonpoint_options!$E:$E,$G73),SUMIFS(Point_options!J:J,Point_options!$B:$B,$D73,Point_options!$E:$E,$G73)))</f>
        <v>96.829624672738873</v>
      </c>
      <c r="M73" s="153" t="s">
        <v>250</v>
      </c>
      <c r="N73" s="153" t="s">
        <v>250</v>
      </c>
      <c r="O73" s="153" t="s">
        <v>250</v>
      </c>
      <c r="P73" s="153" t="s">
        <v>250</v>
      </c>
      <c r="Q73" s="153" t="s">
        <v>253</v>
      </c>
      <c r="R73" s="153" t="s">
        <v>253</v>
      </c>
      <c r="V73" s="186" t="s">
        <v>352</v>
      </c>
      <c r="W73" s="200">
        <f t="shared" si="0"/>
        <v>66</v>
      </c>
    </row>
    <row r="74" spans="1:23" s="152" customFormat="1" ht="24.2" x14ac:dyDescent="0.3">
      <c r="A74" s="153">
        <f>VLOOKUP(D74,'C-E_Shortlist'!$D$8:$Z$114,23,FALSE)</f>
        <v>8</v>
      </c>
      <c r="B74" s="153">
        <v>67</v>
      </c>
      <c r="C74" s="153" t="str">
        <f>VLOOKUP(D74,Shortlist_xref!$A$5:$C$77,2,FALSE)</f>
        <v>C-E</v>
      </c>
      <c r="D74" s="153" t="s">
        <v>34</v>
      </c>
      <c r="E74" s="138" t="s">
        <v>33</v>
      </c>
      <c r="F74" s="138" t="s">
        <v>35</v>
      </c>
      <c r="G74" s="153" t="s">
        <v>12</v>
      </c>
      <c r="H74" s="157">
        <f>IF($V74="mobile",SUMIFS(Mobile_options!F:F,Mobile_options!$B:$B,$D74,Mobile_options!$E:$E,$G74),IF($V74="nonpoint",SUMIFS(Nonpoint_options!F:F,Nonpoint_options!$B:$B,$D74,Nonpoint_options!$E:$E,$G74),SUMIFS(Point_options!F:F,Point_options!$B:$B,$D74,Point_options!$E:$E,$G74)))</f>
        <v>0.1</v>
      </c>
      <c r="I74" s="154">
        <f>IF($V74="mobile",SUMIFS(Mobile_options!G:G,Mobile_options!$B:$B,$D74,Mobile_options!$E:$E,$G74),IF($V74="nonpoint",SUMIFS(Nonpoint_options!G:G,Nonpoint_options!$B:$B,$D74,Nonpoint_options!$E:$E,$G74),SUMIFS(Point_options!G:G,Point_options!$B:$B,$D74,Point_options!$E:$E,$G74)))</f>
        <v>0.3</v>
      </c>
      <c r="J74" s="158">
        <f>IF(V74="mobile",VLOOKUP($D74&amp;$G74,Mobile_options!$X$1:$Y$150,2,FALSE),IF(EmissRed_Shortlist!V74="nonpoint",VLOOKUP($D74&amp;$G74,Nonpoint_options!$W$1:$X$150,2,FALSE),VLOOKUP($D74&amp;$G74,Point_options!$U$1:$V$150,2,FALSE)))</f>
        <v>72</v>
      </c>
      <c r="K74" s="159">
        <f>IF($V74="mobile",SUMIFS(Mobile_options!I:I,Mobile_options!$B:$B,$D74,Mobile_options!$E:$E,$G74),IF($V74="nonpoint",SUMIFS(Nonpoint_options!I:I,Nonpoint_options!$B:$B,$D74,Nonpoint_options!$E:$E,$G74),SUMIFS(Point_options!I:I,Point_options!$B:$B,$D74,Point_options!$E:$E,$G74)))</f>
        <v>1.9843960412402099E-5</v>
      </c>
      <c r="L74" s="168">
        <f>IF($V74="mobile",SUMIFS(Mobile_options!J:J,Mobile_options!$B:$B,$D74,Mobile_options!$E:$E,$G74),IF($V74="nonpoint",SUMIFS(Nonpoint_options!J:J,Nonpoint_options!$B:$B,$D74,Nonpoint_options!$E:$E,$G74),SUMIFS(Point_options!J:J,Point_options!$B:$B,$D74,Point_options!$E:$E,$G74)))</f>
        <v>94.499070000000003</v>
      </c>
      <c r="M74" s="153" t="s">
        <v>250</v>
      </c>
      <c r="N74" s="153" t="s">
        <v>250</v>
      </c>
      <c r="O74" s="153" t="s">
        <v>263</v>
      </c>
      <c r="P74" s="153" t="s">
        <v>250</v>
      </c>
      <c r="Q74" s="153" t="s">
        <v>251</v>
      </c>
      <c r="R74" s="153" t="s">
        <v>253</v>
      </c>
      <c r="V74" s="186" t="s">
        <v>351</v>
      </c>
      <c r="W74" s="200">
        <f t="shared" ref="W74:W87" si="2">B74</f>
        <v>67</v>
      </c>
    </row>
    <row r="75" spans="1:23" s="152" customFormat="1" ht="24.2" x14ac:dyDescent="0.3">
      <c r="A75" s="153">
        <f>VLOOKUP(D75,'C-E_Shortlist'!$D$8:$Z$114,23,FALSE)</f>
        <v>18</v>
      </c>
      <c r="B75" s="153">
        <v>68</v>
      </c>
      <c r="C75" s="153" t="str">
        <f>VLOOKUP(D75,Shortlist_xref!$A$5:$C$77,2,FALSE)</f>
        <v>C-E</v>
      </c>
      <c r="D75" s="153" t="s">
        <v>32</v>
      </c>
      <c r="E75" s="138" t="s">
        <v>33</v>
      </c>
      <c r="F75" s="138" t="s">
        <v>18</v>
      </c>
      <c r="G75" s="153" t="s">
        <v>12</v>
      </c>
      <c r="H75" s="157">
        <f>IF($V75="mobile",SUMIFS(Mobile_options!F:F,Mobile_options!$B:$B,$D75,Mobile_options!$E:$E,$G75),IF($V75="nonpoint",SUMIFS(Nonpoint_options!F:F,Nonpoint_options!$B:$B,$D75,Nonpoint_options!$E:$E,$G75),SUMIFS(Point_options!F:F,Point_options!$B:$B,$D75,Point_options!$E:$E,$G75)))</f>
        <v>0.1</v>
      </c>
      <c r="I75" s="154">
        <f>IF($V75="mobile",SUMIFS(Mobile_options!G:G,Mobile_options!$B:$B,$D75,Mobile_options!$E:$E,$G75),IF($V75="nonpoint",SUMIFS(Nonpoint_options!G:G,Nonpoint_options!$B:$B,$D75,Nonpoint_options!$E:$E,$G75),SUMIFS(Point_options!G:G,Point_options!$B:$B,$D75,Point_options!$E:$E,$G75)))</f>
        <v>0.25</v>
      </c>
      <c r="J75" s="158">
        <f>IF(V75="mobile",VLOOKUP($D75&amp;$G75,Mobile_options!$X$1:$Y$150,2,FALSE),IF(EmissRed_Shortlist!V75="nonpoint",VLOOKUP($D75&amp;$G75,Nonpoint_options!$W$1:$X$150,2,FALSE),VLOOKUP($D75&amp;$G75,Point_options!$U$1:$V$150,2,FALSE)))</f>
        <v>577</v>
      </c>
      <c r="K75" s="159">
        <f>IF($V75="mobile",SUMIFS(Mobile_options!I:I,Mobile_options!$B:$B,$D75,Mobile_options!$E:$E,$G75),IF($V75="nonpoint",SUMIFS(Nonpoint_options!I:I,Nonpoint_options!$B:$B,$D75,Nonpoint_options!$E:$E,$G75),SUMIFS(Point_options!I:I,Point_options!$B:$B,$D75,Point_options!$E:$E,$G75)))</f>
        <v>1.9843960412402099E-5</v>
      </c>
      <c r="L75" s="168">
        <f>IF($V75="mobile",SUMIFS(Mobile_options!J:J,Mobile_options!$B:$B,$D75,Mobile_options!$E:$E,$G75),IF($V75="nonpoint",SUMIFS(Nonpoint_options!J:J,Nonpoint_options!$B:$B,$D75,Nonpoint_options!$E:$E,$G75),SUMIFS(Point_options!J:J,Point_options!$B:$B,$D75,Point_options!$E:$E,$G75)))</f>
        <v>78.74922500000001</v>
      </c>
      <c r="M75" s="153" t="s">
        <v>250</v>
      </c>
      <c r="N75" s="153" t="s">
        <v>250</v>
      </c>
      <c r="O75" s="153" t="s">
        <v>263</v>
      </c>
      <c r="P75" s="153" t="s">
        <v>250</v>
      </c>
      <c r="Q75" s="153" t="s">
        <v>251</v>
      </c>
      <c r="R75" s="153" t="s">
        <v>253</v>
      </c>
      <c r="V75" s="186" t="s">
        <v>351</v>
      </c>
      <c r="W75" s="200">
        <f t="shared" si="2"/>
        <v>68</v>
      </c>
    </row>
    <row r="76" spans="1:23" s="152" customFormat="1" x14ac:dyDescent="0.3">
      <c r="A76" s="153">
        <f>VLOOKUP(D76,'C-E_Shortlist'!$D$8:$Z$114,23,FALSE)</f>
        <v>22</v>
      </c>
      <c r="B76" s="153">
        <v>69</v>
      </c>
      <c r="C76" s="153" t="str">
        <f>VLOOKUP(D76,Shortlist_xref!$A$5:$C$77,2,FALSE)</f>
        <v>C-E</v>
      </c>
      <c r="D76" s="153" t="s">
        <v>130</v>
      </c>
      <c r="E76" s="138" t="s">
        <v>131</v>
      </c>
      <c r="F76" s="138" t="s">
        <v>132</v>
      </c>
      <c r="G76" s="153" t="s">
        <v>53</v>
      </c>
      <c r="H76" s="157">
        <f>IF($V76="mobile",SUMIFS(Mobile_options!F:F,Mobile_options!$B:$B,$D76,Mobile_options!$E:$E,$G76),IF($V76="nonpoint",SUMIFS(Nonpoint_options!F:F,Nonpoint_options!$B:$B,$D76,Nonpoint_options!$E:$E,$G76),SUMIFS(Point_options!F:F,Point_options!$B:$B,$D76,Point_options!$E:$E,$G76)))</f>
        <v>0.1</v>
      </c>
      <c r="I76" s="154">
        <f>IF($V76="mobile",SUMIFS(Mobile_options!G:G,Mobile_options!$B:$B,$D76,Mobile_options!$E:$E,$G76),IF($V76="nonpoint",SUMIFS(Nonpoint_options!G:G,Nonpoint_options!$B:$B,$D76,Nonpoint_options!$E:$E,$G76),SUMIFS(Point_options!G:G,Point_options!$B:$B,$D76,Point_options!$E:$E,$G76)))</f>
        <v>0.7</v>
      </c>
      <c r="J76" s="158">
        <f>IF(V76="mobile",VLOOKUP($D76&amp;$G76,Mobile_options!$X$1:$Y$150,2,FALSE),IF(EmissRed_Shortlist!V76="nonpoint",VLOOKUP($D76&amp;$G76,Nonpoint_options!$W$1:$X$150,2,FALSE),VLOOKUP($D76&amp;$G76,Point_options!$U$1:$V$150,2,FALSE)))</f>
        <v>1089</v>
      </c>
      <c r="K76" s="159">
        <f>IF($V76="mobile",SUMIFS(Mobile_options!I:I,Mobile_options!$B:$B,$D76,Mobile_options!$E:$E,$G76),IF($V76="nonpoint",SUMIFS(Nonpoint_options!I:I,Nonpoint_options!$B:$B,$D76,Nonpoint_options!$E:$E,$G76),SUMIFS(Point_options!I:I,Point_options!$B:$B,$D76,Point_options!$E:$E,$G76)))</f>
        <v>4.7250412993216214E-4</v>
      </c>
      <c r="L76" s="168">
        <f>IF($V76="mobile",SUMIFS(Mobile_options!J:J,Mobile_options!$B:$B,$D76,Mobile_options!$E:$E,$G76),IF($V76="nonpoint",SUMIFS(Nonpoint_options!J:J,Nonpoint_options!$B:$B,$D76,Nonpoint_options!$E:$E,$G76),SUMIFS(Point_options!J:J,Point_options!$B:$B,$D76,Point_options!$E:$E,$G76)))</f>
        <v>49.897400000000005</v>
      </c>
      <c r="M76" s="153" t="s">
        <v>250</v>
      </c>
      <c r="N76" s="153" t="s">
        <v>250</v>
      </c>
      <c r="O76" s="153" t="s">
        <v>250</v>
      </c>
      <c r="P76" s="153" t="s">
        <v>250</v>
      </c>
      <c r="Q76" s="153" t="s">
        <v>251</v>
      </c>
      <c r="R76" s="153" t="s">
        <v>251</v>
      </c>
      <c r="V76" s="186" t="s">
        <v>350</v>
      </c>
      <c r="W76" s="200">
        <f t="shared" si="2"/>
        <v>69</v>
      </c>
    </row>
    <row r="77" spans="1:23" s="152" customFormat="1" ht="24.2" x14ac:dyDescent="0.3">
      <c r="A77" s="153">
        <f>VLOOKUP(D77,'C-E_Shortlist'!$D$8:$Z$114,23,FALSE)</f>
        <v>2</v>
      </c>
      <c r="B77" s="153">
        <v>70</v>
      </c>
      <c r="C77" s="153" t="str">
        <f>VLOOKUP(D77,Shortlist_xref!$A$5:$C$77,2,FALSE)</f>
        <v>CE</v>
      </c>
      <c r="D77" s="153" t="s">
        <v>180</v>
      </c>
      <c r="E77" s="138" t="s">
        <v>181</v>
      </c>
      <c r="F77" s="138" t="s">
        <v>182</v>
      </c>
      <c r="G77" s="153" t="s">
        <v>12</v>
      </c>
      <c r="H77" s="157">
        <f>IF($V77="mobile",SUMIFS(Mobile_options!F:F,Mobile_options!$B:$B,$D77,Mobile_options!$E:$E,$G77),IF($V77="nonpoint",SUMIFS(Nonpoint_options!F:F,Nonpoint_options!$B:$B,$D77,Nonpoint_options!$E:$E,$G77),SUMIFS(Point_options!F:F,Point_options!$B:$B,$D77,Point_options!$E:$E,$G77)))</f>
        <v>0.01</v>
      </c>
      <c r="I77" s="154">
        <f>IF($V77="mobile",SUMIFS(Mobile_options!G:G,Mobile_options!$B:$B,$D77,Mobile_options!$E:$E,$G77),IF($V77="nonpoint",SUMIFS(Nonpoint_options!G:G,Nonpoint_options!$B:$B,$D77,Nonpoint_options!$E:$E,$G77),SUMIFS(Point_options!G:G,Point_options!$B:$B,$D77,Point_options!$E:$E,$G77)))</f>
        <v>2.7999999999999997E-2</v>
      </c>
      <c r="J77" s="158" t="str">
        <f>IF(V77="mobile",VLOOKUP($D77&amp;$G77,Mobile_options!$X$1:$Y$150,2,FALSE),IF(EmissRed_Shortlist!V77="nonpoint",VLOOKUP($D77&amp;$G77,Nonpoint_options!$W$1:$X$150,2,FALSE),VLOOKUP($D77&amp;$G77,Point_options!$U$1:$V$150,2,FALSE)))</f>
        <v>$ 0</v>
      </c>
      <c r="K77" s="159">
        <f>IF($V77="mobile",SUMIFS(Mobile_options!I:I,Mobile_options!$B:$B,$D77,Mobile_options!$E:$E,$G77),IF($V77="nonpoint",SUMIFS(Nonpoint_options!I:I,Nonpoint_options!$B:$B,$D77,Nonpoint_options!$E:$E,$G77),SUMIFS(Point_options!I:I,Point_options!$B:$B,$D77,Point_options!$E:$E,$G77)))</f>
        <v>9.7099050388806174E-2</v>
      </c>
      <c r="L77" s="168">
        <f>IF($V77="mobile",SUMIFS(Mobile_options!J:J,Mobile_options!$B:$B,$D77,Mobile_options!$E:$E,$G77),IF($V77="nonpoint",SUMIFS(Nonpoint_options!J:J,Nonpoint_options!$B:$B,$D77,Nonpoint_options!$E:$E,$G77),SUMIFS(Point_options!J:J,Point_options!$B:$B,$D77,Point_options!$E:$E,$G77)))</f>
        <v>29.152450017345824</v>
      </c>
      <c r="M77" s="153" t="s">
        <v>250</v>
      </c>
      <c r="N77" s="153" t="s">
        <v>250</v>
      </c>
      <c r="O77" s="153" t="s">
        <v>261</v>
      </c>
      <c r="P77" s="153" t="s">
        <v>250</v>
      </c>
      <c r="Q77" s="153" t="s">
        <v>251</v>
      </c>
      <c r="R77" s="153" t="s">
        <v>251</v>
      </c>
      <c r="V77" s="186" t="s">
        <v>352</v>
      </c>
      <c r="W77" s="200">
        <f t="shared" si="2"/>
        <v>70</v>
      </c>
    </row>
    <row r="78" spans="1:23" s="152" customFormat="1" ht="24.2" x14ac:dyDescent="0.3">
      <c r="A78" s="153">
        <f>VLOOKUP(D78,'C-E_Shortlist'!$D$8:$Z$114,23,FALSE)</f>
        <v>2</v>
      </c>
      <c r="B78" s="153">
        <v>71</v>
      </c>
      <c r="C78" s="153" t="str">
        <f>VLOOKUP(D78,Shortlist_xref!$A$5:$C$77,2,FALSE)</f>
        <v>CE</v>
      </c>
      <c r="D78" s="153" t="s">
        <v>180</v>
      </c>
      <c r="E78" s="138" t="s">
        <v>181</v>
      </c>
      <c r="F78" s="138" t="s">
        <v>182</v>
      </c>
      <c r="G78" s="153" t="s">
        <v>53</v>
      </c>
      <c r="H78" s="157">
        <f>IF($V78="mobile",SUMIFS(Mobile_options!F:F,Mobile_options!$B:$B,$D78,Mobile_options!$E:$E,$G78),IF($V78="nonpoint",SUMIFS(Nonpoint_options!F:F,Nonpoint_options!$B:$B,$D78,Nonpoint_options!$E:$E,$G78),SUMIFS(Point_options!F:F,Point_options!$B:$B,$D78,Point_options!$E:$E,$G78)))</f>
        <v>0.01</v>
      </c>
      <c r="I78" s="154">
        <f>IF($V78="mobile",SUMIFS(Mobile_options!G:G,Mobile_options!$B:$B,$D78,Mobile_options!$E:$E,$G78),IF($V78="nonpoint",SUMIFS(Nonpoint_options!G:G,Nonpoint_options!$B:$B,$D78,Nonpoint_options!$E:$E,$G78),SUMIFS(Point_options!G:G,Point_options!$B:$B,$D78,Point_options!$E:$E,$G78)))</f>
        <v>1.6749999999999998E-2</v>
      </c>
      <c r="J78" s="158" t="str">
        <f>IF(V78="mobile",VLOOKUP($D78&amp;$G78,Mobile_options!$X$1:$Y$150,2,FALSE),IF(EmissRed_Shortlist!V78="nonpoint",VLOOKUP($D78&amp;$G78,Nonpoint_options!$W$1:$X$150,2,FALSE),VLOOKUP($D78&amp;$G78,Point_options!$U$1:$V$150,2,FALSE)))</f>
        <v>$ 0</v>
      </c>
      <c r="K78" s="159">
        <f>IF($V78="mobile",SUMIFS(Mobile_options!I:I,Mobile_options!$B:$B,$D78,Mobile_options!$E:$E,$G78),IF($V78="nonpoint",SUMIFS(Nonpoint_options!I:I,Nonpoint_options!$B:$B,$D78,Nonpoint_options!$E:$E,$G78),SUMIFS(Point_options!I:I,Point_options!$B:$B,$D78,Point_options!$E:$E,$G78)))</f>
        <v>8.5013330242014726E-2</v>
      </c>
      <c r="L78" s="168">
        <f>IF($V78="mobile",SUMIFS(Mobile_options!J:J,Mobile_options!$B:$B,$D78,Mobile_options!$E:$E,$G78),IF($V78="nonpoint",SUMIFS(Nonpoint_options!J:J,Nonpoint_options!$B:$B,$D78,Nonpoint_options!$E:$E,$G78),SUMIFS(Point_options!J:J,Point_options!$B:$B,$D78,Point_options!$E:$E,$G78)))</f>
        <v>21.482069049912266</v>
      </c>
      <c r="M78" s="153" t="s">
        <v>250</v>
      </c>
      <c r="N78" s="153" t="s">
        <v>250</v>
      </c>
      <c r="O78" s="153" t="s">
        <v>261</v>
      </c>
      <c r="P78" s="153" t="s">
        <v>250</v>
      </c>
      <c r="Q78" s="153" t="s">
        <v>251</v>
      </c>
      <c r="R78" s="153" t="s">
        <v>251</v>
      </c>
      <c r="V78" s="186" t="s">
        <v>352</v>
      </c>
      <c r="W78" s="200">
        <f t="shared" si="2"/>
        <v>71</v>
      </c>
    </row>
    <row r="79" spans="1:23" s="152" customFormat="1" x14ac:dyDescent="0.3">
      <c r="A79" s="153">
        <f>VLOOKUP(D79,'C-E_Shortlist'!$D$8:$Z$114,23,FALSE)</f>
        <v>37</v>
      </c>
      <c r="B79" s="153">
        <v>72</v>
      </c>
      <c r="C79" s="153" t="str">
        <f>VLOOKUP(D79,Shortlist_xref!$A$5:$C$77,2,FALSE)</f>
        <v>CE</v>
      </c>
      <c r="D79" s="153" t="s">
        <v>200</v>
      </c>
      <c r="E79" s="138" t="s">
        <v>145</v>
      </c>
      <c r="F79" s="138" t="s">
        <v>212</v>
      </c>
      <c r="G79" s="153" t="s">
        <v>12</v>
      </c>
      <c r="H79" s="157">
        <f>IF($V79="mobile",SUMIFS(Mobile_options!F:F,Mobile_options!$B:$B,$D79,Mobile_options!$E:$E,$G79),IF($V79="nonpoint",SUMIFS(Nonpoint_options!F:F,Nonpoint_options!$B:$B,$D79,Nonpoint_options!$E:$E,$G79),SUMIFS(Point_options!F:F,Point_options!$B:$B,$D79,Point_options!$E:$E,$G79)))</f>
        <v>0.01</v>
      </c>
      <c r="I79" s="154">
        <f>IF($V79="mobile",SUMIFS(Mobile_options!G:G,Mobile_options!$B:$B,$D79,Mobile_options!$E:$E,$G79),IF($V79="nonpoint",SUMIFS(Nonpoint_options!G:G,Nonpoint_options!$B:$B,$D79,Nonpoint_options!$E:$E,$G79),SUMIFS(Point_options!G:G,Point_options!$B:$B,$D79,Point_options!$E:$E,$G79)))</f>
        <v>0.02</v>
      </c>
      <c r="J79" s="158" t="str">
        <f>IF(V79="mobile",VLOOKUP($D79&amp;$G79,Mobile_options!$X$1:$Y$150,2,FALSE),IF(EmissRed_Shortlist!V79="nonpoint",VLOOKUP($D79&amp;$G79,Nonpoint_options!$W$1:$X$150,2,FALSE),VLOOKUP($D79&amp;$G79,Point_options!$U$1:$V$150,2,FALSE)))</f>
        <v>$3,613/ton NOx</v>
      </c>
      <c r="K79" s="159">
        <f>IF($V79="mobile",SUMIFS(Mobile_options!I:I,Mobile_options!$B:$B,$D79,Mobile_options!$E:$E,$G79),IF($V79="nonpoint",SUMIFS(Nonpoint_options!I:I,Nonpoint_options!$B:$B,$D79,Nonpoint_options!$E:$E,$G79),SUMIFS(Point_options!I:I,Point_options!$B:$B,$D79,Point_options!$E:$E,$G79)))</f>
        <v>9.2663878861477839E-2</v>
      </c>
      <c r="L79" s="168">
        <f>IF($V79="mobile",SUMIFS(Mobile_options!J:J,Mobile_options!$B:$B,$D79,Mobile_options!$E:$E,$G79),IF($V79="nonpoint",SUMIFS(Nonpoint_options!J:J,Nonpoint_options!$B:$B,$D79,Nonpoint_options!$E:$E,$G79),SUMIFS(Point_options!J:J,Point_options!$B:$B,$D79,Point_options!$E:$E,$G79)))</f>
        <v>19.872042930136804</v>
      </c>
      <c r="M79" s="153" t="s">
        <v>250</v>
      </c>
      <c r="N79" s="153" t="s">
        <v>250</v>
      </c>
      <c r="O79" s="153" t="s">
        <v>250</v>
      </c>
      <c r="P79" s="153" t="s">
        <v>250</v>
      </c>
      <c r="Q79" s="153" t="s">
        <v>253</v>
      </c>
      <c r="R79" s="153" t="s">
        <v>251</v>
      </c>
      <c r="V79" s="186" t="s">
        <v>352</v>
      </c>
      <c r="W79" s="200">
        <f t="shared" si="2"/>
        <v>72</v>
      </c>
    </row>
    <row r="80" spans="1:23" s="152" customFormat="1" x14ac:dyDescent="0.3">
      <c r="A80" s="153">
        <f>VLOOKUP(D80,'C-E_Shortlist'!$D$8:$Z$114,23,FALSE)</f>
        <v>15</v>
      </c>
      <c r="B80" s="153">
        <v>73</v>
      </c>
      <c r="C80" s="153" t="str">
        <f>VLOOKUP(D80,Shortlist_xref!$A$5:$C$77,2,FALSE)</f>
        <v>C-E</v>
      </c>
      <c r="D80" s="153" t="s">
        <v>57</v>
      </c>
      <c r="E80" s="138" t="s">
        <v>58</v>
      </c>
      <c r="F80" s="138" t="s">
        <v>59</v>
      </c>
      <c r="G80" s="153" t="s">
        <v>53</v>
      </c>
      <c r="H80" s="157">
        <f>IF($V80="mobile",SUMIFS(Mobile_options!F:F,Mobile_options!$B:$B,$D80,Mobile_options!$E:$E,$G80),IF($V80="nonpoint",SUMIFS(Nonpoint_options!F:F,Nonpoint_options!$B:$B,$D80,Nonpoint_options!$E:$E,$G80),SUMIFS(Point_options!F:F,Point_options!$B:$B,$D80,Point_options!$E:$E,$G80)))</f>
        <v>0.1</v>
      </c>
      <c r="I80" s="154">
        <f>IF($V80="mobile",SUMIFS(Mobile_options!G:G,Mobile_options!$B:$B,$D80,Mobile_options!$E:$E,$G80),IF($V80="nonpoint",SUMIFS(Nonpoint_options!G:G,Nonpoint_options!$B:$B,$D80,Nonpoint_options!$E:$E,$G80),SUMIFS(Point_options!G:G,Point_options!$B:$B,$D80,Point_options!$E:$E,$G80)))</f>
        <v>0.7</v>
      </c>
      <c r="J80" s="158">
        <f>IF(V80="mobile",VLOOKUP($D80&amp;$G80,Mobile_options!$X$1:$Y$150,2,FALSE),IF(EmissRed_Shortlist!V80="nonpoint",VLOOKUP($D80&amp;$G80,Nonpoint_options!$W$1:$X$150,2,FALSE),VLOOKUP($D80&amp;$G80,Point_options!$U$1:$V$150,2,FALSE)))</f>
        <v>457</v>
      </c>
      <c r="K80" s="159">
        <f>IF($V80="mobile",SUMIFS(Mobile_options!I:I,Mobile_options!$B:$B,$D80,Mobile_options!$E:$E,$G80),IF($V80="nonpoint",SUMIFS(Nonpoint_options!I:I,Nonpoint_options!$B:$B,$D80,Nonpoint_options!$E:$E,$G80),SUMIFS(Point_options!I:I,Point_options!$B:$B,$D80,Point_options!$E:$E,$G80)))</f>
        <v>8.7159510035642705E-5</v>
      </c>
      <c r="L80" s="168">
        <f>IF($V80="mobile",SUMIFS(Mobile_options!J:J,Mobile_options!$B:$B,$D80,Mobile_options!$E:$E,$G80),IF($V80="nonpoint",SUMIFS(Nonpoint_options!J:J,Nonpoint_options!$B:$B,$D80,Nonpoint_options!$E:$E,$G80),SUMIFS(Point_options!J:J,Point_options!$B:$B,$D80,Point_options!$E:$E,$G80)))</f>
        <v>9.2042220597667015</v>
      </c>
      <c r="M80" s="153" t="s">
        <v>250</v>
      </c>
      <c r="N80" s="153" t="s">
        <v>250</v>
      </c>
      <c r="O80" s="153" t="s">
        <v>263</v>
      </c>
      <c r="P80" s="153" t="s">
        <v>250</v>
      </c>
      <c r="Q80" s="153" t="s">
        <v>251</v>
      </c>
      <c r="R80" s="153" t="s">
        <v>253</v>
      </c>
      <c r="V80" s="186" t="s">
        <v>351</v>
      </c>
      <c r="W80" s="200">
        <f t="shared" si="2"/>
        <v>73</v>
      </c>
    </row>
    <row r="81" spans="1:23" s="152" customFormat="1" ht="36.299999999999997" x14ac:dyDescent="0.3">
      <c r="A81" s="153">
        <f>VLOOKUP(D81,'C-E_Shortlist'!$D$8:$Z$114,23,FALSE)</f>
        <v>30</v>
      </c>
      <c r="B81" s="153">
        <v>74</v>
      </c>
      <c r="C81" s="153" t="str">
        <f>VLOOKUP(D81,Shortlist_xref!$A$5:$C$77,2,FALSE)</f>
        <v>CE</v>
      </c>
      <c r="D81" s="153" t="s">
        <v>206</v>
      </c>
      <c r="E81" s="138" t="s">
        <v>178</v>
      </c>
      <c r="F81" s="138" t="s">
        <v>207</v>
      </c>
      <c r="G81" s="153" t="s">
        <v>12</v>
      </c>
      <c r="H81" s="157">
        <f>IF($V81="mobile",SUMIFS(Mobile_options!F:F,Mobile_options!$B:$B,$D81,Mobile_options!$E:$E,$G81),IF($V81="nonpoint",SUMIFS(Nonpoint_options!F:F,Nonpoint_options!$B:$B,$D81,Nonpoint_options!$E:$E,$G81),SUMIFS(Point_options!F:F,Point_options!$B:$B,$D81,Point_options!$E:$E,$G81)))</f>
        <v>0.01</v>
      </c>
      <c r="I81" s="154">
        <f>IF($V81="mobile",SUMIFS(Mobile_options!G:G,Mobile_options!$B:$B,$D81,Mobile_options!$E:$E,$G81),IF($V81="nonpoint",SUMIFS(Nonpoint_options!G:G,Nonpoint_options!$B:$B,$D81,Nonpoint_options!$E:$E,$G81),SUMIFS(Point_options!G:G,Point_options!$B:$B,$D81,Point_options!$E:$E,$G81)))</f>
        <v>0.65</v>
      </c>
      <c r="J81" s="158" t="str">
        <f>IF(V81="mobile",VLOOKUP($D81&amp;$G81,Mobile_options!$X$1:$Y$150,2,FALSE),IF(EmissRed_Shortlist!V81="nonpoint",VLOOKUP($D81&amp;$G81,Nonpoint_options!$W$1:$X$150,2,FALSE),VLOOKUP($D81&amp;$G81,Point_options!$U$1:$V$150,2,FALSE)))</f>
        <v xml:space="preserve">$2,218 / ton VOC+CO+NOx combined </v>
      </c>
      <c r="K81" s="159">
        <f>IF($V81="mobile",SUMIFS(Mobile_options!I:I,Mobile_options!$B:$B,$D81,Mobile_options!$E:$E,$G81),IF($V81="nonpoint",SUMIFS(Nonpoint_options!I:I,Nonpoint_options!$B:$B,$D81,Nonpoint_options!$E:$E,$G81),SUMIFS(Point_options!I:I,Point_options!$B:$B,$D81,Point_options!$E:$E,$G81)))</f>
        <v>1.042221851118114E-3</v>
      </c>
      <c r="L81" s="168">
        <f>IF($V81="mobile",SUMIFS(Mobile_options!J:J,Mobile_options!$B:$B,$D81,Mobile_options!$E:$E,$G81),IF($V81="nonpoint",SUMIFS(Nonpoint_options!J:J,Nonpoint_options!$B:$B,$D81,Nonpoint_options!$E:$E,$G81),SUMIFS(Point_options!J:J,Point_options!$B:$B,$D81,Point_options!$E:$E,$G81)))</f>
        <v>7.2639956662181531</v>
      </c>
      <c r="M81" s="153" t="s">
        <v>250</v>
      </c>
      <c r="N81" s="153" t="s">
        <v>250</v>
      </c>
      <c r="O81" s="153" t="s">
        <v>250</v>
      </c>
      <c r="P81" s="153" t="s">
        <v>250</v>
      </c>
      <c r="Q81" s="153" t="s">
        <v>253</v>
      </c>
      <c r="R81" s="153" t="s">
        <v>253</v>
      </c>
      <c r="V81" s="186" t="s">
        <v>352</v>
      </c>
      <c r="W81" s="200">
        <f t="shared" si="2"/>
        <v>74</v>
      </c>
    </row>
    <row r="82" spans="1:23" s="152" customFormat="1" ht="36.299999999999997" x14ac:dyDescent="0.3">
      <c r="A82" s="153">
        <f>VLOOKUP(D82,'C-E_Shortlist'!$D$8:$Z$114,23,FALSE)</f>
        <v>30</v>
      </c>
      <c r="B82" s="153">
        <v>75</v>
      </c>
      <c r="C82" s="153" t="str">
        <f>VLOOKUP(D82,Shortlist_xref!$A$5:$C$77,2,FALSE)</f>
        <v>CE</v>
      </c>
      <c r="D82" s="153" t="s">
        <v>206</v>
      </c>
      <c r="E82" s="138" t="s">
        <v>178</v>
      </c>
      <c r="F82" s="138" t="s">
        <v>207</v>
      </c>
      <c r="G82" s="153" t="s">
        <v>53</v>
      </c>
      <c r="H82" s="157">
        <f>IF($V82="mobile",SUMIFS(Mobile_options!F:F,Mobile_options!$B:$B,$D82,Mobile_options!$E:$E,$G82),IF($V82="nonpoint",SUMIFS(Nonpoint_options!F:F,Nonpoint_options!$B:$B,$D82,Nonpoint_options!$E:$E,$G82),SUMIFS(Point_options!F:F,Point_options!$B:$B,$D82,Point_options!$E:$E,$G82)))</f>
        <v>0.01</v>
      </c>
      <c r="I82" s="154">
        <f>IF($V82="mobile",SUMIFS(Mobile_options!G:G,Mobile_options!$B:$B,$D82,Mobile_options!$E:$E,$G82),IF($V82="nonpoint",SUMIFS(Nonpoint_options!G:G,Nonpoint_options!$B:$B,$D82,Nonpoint_options!$E:$E,$G82),SUMIFS(Point_options!G:G,Point_options!$B:$B,$D82,Point_options!$E:$E,$G82)))</f>
        <v>0.3</v>
      </c>
      <c r="J82" s="158" t="str">
        <f>IF(V82="mobile",VLOOKUP($D82&amp;$G82,Mobile_options!$X$1:$Y$150,2,FALSE),IF(EmissRed_Shortlist!V82="nonpoint",VLOOKUP($D82&amp;$G82,Nonpoint_options!$W$1:$X$150,2,FALSE),VLOOKUP($D82&amp;$G82,Point_options!$U$1:$V$150,2,FALSE)))</f>
        <v xml:space="preserve">$2,218 / ton VOC+CO+NOx combined </v>
      </c>
      <c r="K82" s="159">
        <f>IF($V82="mobile",SUMIFS(Mobile_options!I:I,Mobile_options!$B:$B,$D82,Mobile_options!$E:$E,$G82),IF($V82="nonpoint",SUMIFS(Nonpoint_options!I:I,Nonpoint_options!$B:$B,$D82,Nonpoint_options!$E:$E,$G82),SUMIFS(Point_options!I:I,Point_options!$B:$B,$D82,Point_options!$E:$E,$G82)))</f>
        <v>2.3777421680653047E-4</v>
      </c>
      <c r="L82" s="168">
        <f>IF($V82="mobile",SUMIFS(Mobile_options!J:J,Mobile_options!$B:$B,$D82,Mobile_options!$E:$E,$G82),IF($V82="nonpoint",SUMIFS(Nonpoint_options!J:J,Nonpoint_options!$B:$B,$D82,Nonpoint_options!$E:$E,$G82),SUMIFS(Point_options!J:J,Point_options!$B:$B,$D82,Point_options!$E:$E,$G82)))</f>
        <v>1.0761189574048693</v>
      </c>
      <c r="M82" s="153" t="s">
        <v>250</v>
      </c>
      <c r="N82" s="153" t="s">
        <v>250</v>
      </c>
      <c r="O82" s="153" t="s">
        <v>250</v>
      </c>
      <c r="P82" s="153" t="s">
        <v>250</v>
      </c>
      <c r="Q82" s="153" t="s">
        <v>253</v>
      </c>
      <c r="R82" s="153" t="s">
        <v>253</v>
      </c>
      <c r="V82" s="186" t="s">
        <v>352</v>
      </c>
      <c r="W82" s="200">
        <f t="shared" si="2"/>
        <v>75</v>
      </c>
    </row>
    <row r="83" spans="1:23" s="152" customFormat="1" x14ac:dyDescent="0.3">
      <c r="A83" s="153">
        <f>VLOOKUP(D83,'C-E_Shortlist'!$D$8:$Z$114,23,FALSE)</f>
        <v>13</v>
      </c>
      <c r="B83" s="153">
        <v>76</v>
      </c>
      <c r="C83" s="153" t="str">
        <f>VLOOKUP(D83,Shortlist_xref!$A$5:$C$77,2,FALSE)</f>
        <v>C-E</v>
      </c>
      <c r="D83" s="153" t="s">
        <v>55</v>
      </c>
      <c r="E83" s="138" t="s">
        <v>54</v>
      </c>
      <c r="F83" s="138" t="s">
        <v>56</v>
      </c>
      <c r="G83" s="153" t="s">
        <v>53</v>
      </c>
      <c r="H83" s="157">
        <f>IF($V83="mobile",SUMIFS(Mobile_options!F:F,Mobile_options!$B:$B,$D83,Mobile_options!$E:$E,$G83),IF($V83="nonpoint",SUMIFS(Nonpoint_options!F:F,Nonpoint_options!$B:$B,$D83,Nonpoint_options!$E:$E,$G83),SUMIFS(Point_options!F:F,Point_options!$B:$B,$D83,Point_options!$E:$E,$G83)))</f>
        <v>0.1</v>
      </c>
      <c r="I83" s="154">
        <f>IF($V83="mobile",SUMIFS(Mobile_options!G:G,Mobile_options!$B:$B,$D83,Mobile_options!$E:$E,$G83),IF($V83="nonpoint",SUMIFS(Nonpoint_options!G:G,Nonpoint_options!$B:$B,$D83,Nonpoint_options!$E:$E,$G83),SUMIFS(Point_options!G:G,Point_options!$B:$B,$D83,Point_options!$E:$E,$G83)))</f>
        <v>0.8</v>
      </c>
      <c r="J83" s="158">
        <f>IF(V83="mobile",VLOOKUP($D83&amp;$G83,Mobile_options!$X$1:$Y$150,2,FALSE),IF(EmissRed_Shortlist!V83="nonpoint",VLOOKUP($D83&amp;$G83,Nonpoint_options!$W$1:$X$150,2,FALSE),VLOOKUP($D83&amp;$G83,Point_options!$U$1:$V$150,2,FALSE)))</f>
        <v>340</v>
      </c>
      <c r="K83" s="159">
        <f>IF($V83="mobile",SUMIFS(Mobile_options!I:I,Mobile_options!$B:$B,$D83,Mobile_options!$E:$E,$G83),IF($V83="nonpoint",SUMIFS(Nonpoint_options!I:I,Nonpoint_options!$B:$B,$D83,Nonpoint_options!$E:$E,$G83),SUMIFS(Point_options!I:I,Point_options!$B:$B,$D83,Point_options!$E:$E,$G83)))</f>
        <v>8.4170201637929402E-6</v>
      </c>
      <c r="L83" s="168">
        <f>IF($V83="mobile",SUMIFS(Mobile_options!J:J,Mobile_options!$B:$B,$D83,Mobile_options!$E:$E,$G83),IF($V83="nonpoint",SUMIFS(Nonpoint_options!J:J,Nonpoint_options!$B:$B,$D83,Nonpoint_options!$E:$E,$G83),SUMIFS(Point_options!J:J,Point_options!$B:$B,$D83,Point_options!$E:$E,$G83)))</f>
        <v>1.0158337137101907</v>
      </c>
      <c r="M83" s="153" t="s">
        <v>250</v>
      </c>
      <c r="N83" s="153" t="s">
        <v>250</v>
      </c>
      <c r="O83" s="153" t="s">
        <v>263</v>
      </c>
      <c r="P83" s="153" t="s">
        <v>250</v>
      </c>
      <c r="Q83" s="153" t="s">
        <v>251</v>
      </c>
      <c r="R83" s="153" t="s">
        <v>253</v>
      </c>
      <c r="V83" s="186" t="s">
        <v>351</v>
      </c>
      <c r="W83" s="200">
        <f t="shared" si="2"/>
        <v>76</v>
      </c>
    </row>
    <row r="84" spans="1:23" s="152" customFormat="1" x14ac:dyDescent="0.3">
      <c r="A84" s="153">
        <f>VLOOKUP(D84,'C-E_Shortlist'!$D$8:$Z$114,23,FALSE)</f>
        <v>16</v>
      </c>
      <c r="B84" s="153">
        <v>77</v>
      </c>
      <c r="C84" s="153" t="str">
        <f>VLOOKUP(D84,Shortlist_xref!$A$5:$C$77,2,FALSE)</f>
        <v>C-E</v>
      </c>
      <c r="D84" s="153" t="s">
        <v>39</v>
      </c>
      <c r="E84" s="138" t="s">
        <v>38</v>
      </c>
      <c r="F84" s="138" t="s">
        <v>18</v>
      </c>
      <c r="G84" s="153" t="s">
        <v>12</v>
      </c>
      <c r="H84" s="157">
        <f>IF($V84="mobile",SUMIFS(Mobile_options!F:F,Mobile_options!$B:$B,$D84,Mobile_options!$E:$E,$G84),IF($V84="nonpoint",SUMIFS(Nonpoint_options!F:F,Nonpoint_options!$B:$B,$D84,Nonpoint_options!$E:$E,$G84),SUMIFS(Point_options!F:F,Point_options!$B:$B,$D84,Point_options!$E:$E,$G84)))</f>
        <v>0.1</v>
      </c>
      <c r="I84" s="154">
        <f>IF($V84="mobile",SUMIFS(Mobile_options!G:G,Mobile_options!$B:$B,$D84,Mobile_options!$E:$E,$G84),IF($V84="nonpoint",SUMIFS(Nonpoint_options!G:G,Nonpoint_options!$B:$B,$D84,Nonpoint_options!$E:$E,$G84),SUMIFS(Point_options!G:G,Point_options!$B:$B,$D84,Point_options!$E:$E,$G84)))</f>
        <v>0.66</v>
      </c>
      <c r="J84" s="158">
        <f>IF(V84="mobile",VLOOKUP($D84&amp;$G84,Mobile_options!$X$1:$Y$150,2,FALSE),IF(EmissRed_Shortlist!V84="nonpoint",VLOOKUP($D84&amp;$G84,Nonpoint_options!$W$1:$X$150,2,FALSE),VLOOKUP($D84&amp;$G84,Point_options!$U$1:$V$150,2,FALSE)))</f>
        <v>481</v>
      </c>
      <c r="K84" s="159">
        <f>IF($V84="mobile",SUMIFS(Mobile_options!I:I,Mobile_options!$B:$B,$D84,Mobile_options!$E:$E,$G84),IF($V84="nonpoint",SUMIFS(Nonpoint_options!I:I,Nonpoint_options!$B:$B,$D84,Nonpoint_options!$E:$E,$G84),SUMIFS(Point_options!I:I,Point_options!$B:$B,$D84,Point_options!$E:$E,$G84)))</f>
        <v>0</v>
      </c>
      <c r="L84" s="168">
        <f>IF($V84="mobile",SUMIFS(Mobile_options!J:J,Mobile_options!$B:$B,$D84,Mobile_options!$E:$E,$G84),IF($V84="nonpoint",SUMIFS(Nonpoint_options!J:J,Nonpoint_options!$B:$B,$D84,Nonpoint_options!$E:$E,$G84),SUMIFS(Point_options!J:J,Point_options!$B:$B,$D84,Point_options!$E:$E,$G84)))</f>
        <v>0</v>
      </c>
      <c r="M84" s="153" t="s">
        <v>250</v>
      </c>
      <c r="N84" s="153" t="s">
        <v>250</v>
      </c>
      <c r="O84" s="153" t="s">
        <v>250</v>
      </c>
      <c r="P84" s="153" t="s">
        <v>250</v>
      </c>
      <c r="Q84" s="153" t="s">
        <v>251</v>
      </c>
      <c r="R84" s="153" t="s">
        <v>253</v>
      </c>
      <c r="V84" s="186" t="s">
        <v>351</v>
      </c>
      <c r="W84" s="200">
        <f t="shared" si="2"/>
        <v>77</v>
      </c>
    </row>
    <row r="85" spans="1:23" s="152" customFormat="1" x14ac:dyDescent="0.3">
      <c r="A85" s="153">
        <f>VLOOKUP(D85,'C-E_Shortlist'!$D$8:$Z$114,23,FALSE)</f>
        <v>12</v>
      </c>
      <c r="B85" s="153">
        <v>78</v>
      </c>
      <c r="C85" s="153" t="str">
        <f>VLOOKUP(D85,Shortlist_xref!$A$5:$C$77,2,FALSE)</f>
        <v>C-E</v>
      </c>
      <c r="D85" s="153" t="s">
        <v>60</v>
      </c>
      <c r="E85" s="138" t="s">
        <v>58</v>
      </c>
      <c r="F85" s="138" t="s">
        <v>61</v>
      </c>
      <c r="G85" s="153" t="s">
        <v>53</v>
      </c>
      <c r="H85" s="157">
        <f>IF($V85="mobile",SUMIFS(Mobile_options!F:F,Mobile_options!$B:$B,$D85,Mobile_options!$E:$E,$G85),IF($V85="nonpoint",SUMIFS(Nonpoint_options!F:F,Nonpoint_options!$B:$B,$D85,Nonpoint_options!$E:$E,$G85),SUMIFS(Point_options!F:F,Point_options!$B:$B,$D85,Point_options!$E:$E,$G85)))</f>
        <v>0.1</v>
      </c>
      <c r="I85" s="154">
        <f>IF($V85="mobile",SUMIFS(Mobile_options!G:G,Mobile_options!$B:$B,$D85,Mobile_options!$E:$E,$G85),IF($V85="nonpoint",SUMIFS(Nonpoint_options!G:G,Nonpoint_options!$B:$B,$D85,Nonpoint_options!$E:$E,$G85),SUMIFS(Point_options!G:G,Point_options!$B:$B,$D85,Point_options!$E:$E,$G85)))</f>
        <v>0.84499999999999997</v>
      </c>
      <c r="J85" s="158">
        <f>IF(V85="mobile",VLOOKUP($D85&amp;$G85,Mobile_options!$X$1:$Y$150,2,FALSE),IF(EmissRed_Shortlist!V85="nonpoint",VLOOKUP($D85&amp;$G85,Nonpoint_options!$W$1:$X$150,2,FALSE),VLOOKUP($D85&amp;$G85,Point_options!$U$1:$V$150,2,FALSE)))</f>
        <v>300</v>
      </c>
      <c r="K85" s="159">
        <f>IF($V85="mobile",SUMIFS(Mobile_options!I:I,Mobile_options!$B:$B,$D85,Mobile_options!$E:$E,$G85),IF($V85="nonpoint",SUMIFS(Nonpoint_options!I:I,Nonpoint_options!$B:$B,$D85,Nonpoint_options!$E:$E,$G85),SUMIFS(Point_options!I:I,Point_options!$B:$B,$D85,Point_options!$E:$E,$G85)))</f>
        <v>8.7159510035642705E-5</v>
      </c>
      <c r="L85" s="168">
        <f>IF($V85="mobile",SUMIFS(Mobile_options!J:J,Mobile_options!$B:$B,$D85,Mobile_options!$E:$E,$G85),IF($V85="nonpoint",SUMIFS(Nonpoint_options!J:J,Nonpoint_options!$B:$B,$D85,Nonpoint_options!$E:$E,$G85),SUMIFS(Point_options!J:J,Point_options!$B:$B,$D85,Point_options!$E:$E,$G85)))</f>
        <v>11.110810915004089</v>
      </c>
      <c r="M85" s="153" t="s">
        <v>250</v>
      </c>
      <c r="N85" s="153" t="s">
        <v>250</v>
      </c>
      <c r="O85" s="153" t="s">
        <v>263</v>
      </c>
      <c r="P85" s="153" t="s">
        <v>250</v>
      </c>
      <c r="Q85" s="153" t="s">
        <v>251</v>
      </c>
      <c r="R85" s="153" t="s">
        <v>253</v>
      </c>
      <c r="V85" s="186" t="s">
        <v>351</v>
      </c>
      <c r="W85" s="200">
        <f t="shared" si="2"/>
        <v>78</v>
      </c>
    </row>
    <row r="86" spans="1:23" s="152" customFormat="1" ht="24.2" x14ac:dyDescent="0.3">
      <c r="A86" s="153">
        <f>VLOOKUP(D86,'C-E_Shortlist'!$D$8:$Z$114,23,FALSE)</f>
        <v>32</v>
      </c>
      <c r="B86" s="153">
        <v>79</v>
      </c>
      <c r="C86" s="153" t="str">
        <f>VLOOKUP(D86,Shortlist_xref!$A$5:$C$77,2,FALSE)</f>
        <v>CE</v>
      </c>
      <c r="D86" s="153" t="s">
        <v>205</v>
      </c>
      <c r="E86" s="138" t="s">
        <v>218</v>
      </c>
      <c r="F86" s="138" t="s">
        <v>219</v>
      </c>
      <c r="G86" s="153" t="s">
        <v>12</v>
      </c>
      <c r="H86" s="157">
        <f>IF($V86="mobile",SUMIFS(Mobile_options!F:F,Mobile_options!$B:$B,$D86,Mobile_options!$E:$E,$G86),IF($V86="nonpoint",SUMIFS(Nonpoint_options!F:F,Nonpoint_options!$B:$B,$D86,Nonpoint_options!$E:$E,$G86),SUMIFS(Point_options!F:F,Point_options!$B:$B,$D86,Point_options!$E:$E,$G86)))</f>
        <v>0</v>
      </c>
      <c r="I86" s="154">
        <f>IF($V86="mobile",SUMIFS(Mobile_options!G:G,Mobile_options!$B:$B,$D86,Mobile_options!$E:$E,$G86),IF($V86="nonpoint",SUMIFS(Nonpoint_options!G:G,Nonpoint_options!$B:$B,$D86,Nonpoint_options!$E:$E,$G86),SUMIFS(Point_options!G:G,Point_options!$B:$B,$D86,Point_options!$E:$E,$G86)))</f>
        <v>0</v>
      </c>
      <c r="J86" s="158" t="str">
        <f>IF(V86="mobile",VLOOKUP($D86&amp;$G86,Mobile_options!$X$1:$Y$150,2,FALSE),IF(EmissRed_Shortlist!V86="nonpoint",VLOOKUP($D86&amp;$G86,Nonpoint_options!$W$1:$X$150,2,FALSE),VLOOKUP($D86&amp;$G86,Point_options!$U$1:$V$150,2,FALSE)))</f>
        <v>$2,690 combined NOx+VOC+PM+CO</v>
      </c>
      <c r="K86" s="159">
        <f>IF($V86="mobile",SUMIFS(Mobile_options!I:I,Mobile_options!$B:$B,$D86,Mobile_options!$E:$E,$G86),IF($V86="nonpoint",SUMIFS(Nonpoint_options!I:I,Nonpoint_options!$B:$B,$D86,Nonpoint_options!$E:$E,$G86),SUMIFS(Point_options!I:I,Point_options!$B:$B,$D86,Point_options!$E:$E,$G86)))</f>
        <v>0</v>
      </c>
      <c r="L86" s="168">
        <f>IF($V86="mobile",SUMIFS(Mobile_options!J:J,Mobile_options!$B:$B,$D86,Mobile_options!$E:$E,$G86),IF($V86="nonpoint",SUMIFS(Nonpoint_options!J:J,Nonpoint_options!$B:$B,$D86,Nonpoint_options!$E:$E,$G86),SUMIFS(Point_options!J:J,Point_options!$B:$B,$D86,Point_options!$E:$E,$G86)))</f>
        <v>0</v>
      </c>
      <c r="M86" s="153" t="s">
        <v>250</v>
      </c>
      <c r="N86" s="153" t="s">
        <v>250</v>
      </c>
      <c r="O86" s="153" t="s">
        <v>250</v>
      </c>
      <c r="P86" s="153" t="s">
        <v>250</v>
      </c>
      <c r="Q86" s="153" t="s">
        <v>251</v>
      </c>
      <c r="R86" s="153" t="s">
        <v>251</v>
      </c>
      <c r="V86" s="186" t="s">
        <v>352</v>
      </c>
      <c r="W86" s="200">
        <f t="shared" si="2"/>
        <v>79</v>
      </c>
    </row>
    <row r="87" spans="1:23" s="152" customFormat="1" ht="24.2" x14ac:dyDescent="0.3">
      <c r="A87" s="153">
        <f>VLOOKUP(D87,'C-E_Shortlist'!$D$8:$Z$114,23,FALSE)</f>
        <v>32</v>
      </c>
      <c r="B87" s="153">
        <v>80</v>
      </c>
      <c r="C87" s="153" t="str">
        <f>VLOOKUP(D87,Shortlist_xref!$A$5:$C$77,2,FALSE)</f>
        <v>CE</v>
      </c>
      <c r="D87" s="153" t="s">
        <v>205</v>
      </c>
      <c r="E87" s="138" t="s">
        <v>218</v>
      </c>
      <c r="F87" s="138" t="s">
        <v>219</v>
      </c>
      <c r="G87" s="153" t="s">
        <v>53</v>
      </c>
      <c r="H87" s="157">
        <f>IF($V87="mobile",SUMIFS(Mobile_options!F:F,Mobile_options!$B:$B,$D87,Mobile_options!$E:$E,$G87),IF($V87="nonpoint",SUMIFS(Nonpoint_options!F:F,Nonpoint_options!$B:$B,$D87,Nonpoint_options!$E:$E,$G87),SUMIFS(Point_options!F:F,Point_options!$B:$B,$D87,Point_options!$E:$E,$G87)))</f>
        <v>0</v>
      </c>
      <c r="I87" s="154">
        <f>IF($V87="mobile",SUMIFS(Mobile_options!G:G,Mobile_options!$B:$B,$D87,Mobile_options!$E:$E,$G87),IF($V87="nonpoint",SUMIFS(Nonpoint_options!G:G,Nonpoint_options!$B:$B,$D87,Nonpoint_options!$E:$E,$G87),SUMIFS(Point_options!G:G,Point_options!$B:$B,$D87,Point_options!$E:$E,$G87)))</f>
        <v>0</v>
      </c>
      <c r="J87" s="158" t="str">
        <f>IF(V87="mobile",VLOOKUP($D87&amp;$G87,Mobile_options!$X$1:$Y$150,2,FALSE),IF(EmissRed_Shortlist!V87="nonpoint",VLOOKUP($D87&amp;$G87,Nonpoint_options!$W$1:$X$150,2,FALSE),VLOOKUP($D87&amp;$G87,Point_options!$U$1:$V$150,2,FALSE)))</f>
        <v>$2,690 combined NOx+VOC+PM+CO</v>
      </c>
      <c r="K87" s="159">
        <f>IF($V87="mobile",SUMIFS(Mobile_options!I:I,Mobile_options!$B:$B,$D87,Mobile_options!$E:$E,$G87),IF($V87="nonpoint",SUMIFS(Nonpoint_options!I:I,Nonpoint_options!$B:$B,$D87,Nonpoint_options!$E:$E,$G87),SUMIFS(Point_options!I:I,Point_options!$B:$B,$D87,Point_options!$E:$E,$G87)))</f>
        <v>0</v>
      </c>
      <c r="L87" s="168">
        <f>IF($V87="mobile",SUMIFS(Mobile_options!J:J,Mobile_options!$B:$B,$D87,Mobile_options!$E:$E,$G87),IF($V87="nonpoint",SUMIFS(Nonpoint_options!J:J,Nonpoint_options!$B:$B,$D87,Nonpoint_options!$E:$E,$G87),SUMIFS(Point_options!J:J,Point_options!$B:$B,$D87,Point_options!$E:$E,$G87)))</f>
        <v>0</v>
      </c>
      <c r="M87" s="153" t="s">
        <v>250</v>
      </c>
      <c r="N87" s="153" t="s">
        <v>250</v>
      </c>
      <c r="O87" s="153" t="s">
        <v>250</v>
      </c>
      <c r="P87" s="153" t="s">
        <v>250</v>
      </c>
      <c r="Q87" s="153" t="s">
        <v>251</v>
      </c>
      <c r="R87" s="153" t="s">
        <v>251</v>
      </c>
      <c r="V87" s="186" t="s">
        <v>352</v>
      </c>
      <c r="W87" s="200">
        <f t="shared" si="2"/>
        <v>80</v>
      </c>
    </row>
  </sheetData>
  <autoFilter ref="A7:V87" xr:uid="{C7309C91-F687-498F-853C-3616A7B504EA}"/>
  <mergeCells count="3">
    <mergeCell ref="M6:R6"/>
    <mergeCell ref="M5:R5"/>
    <mergeCell ref="A4:D5"/>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3AF083-9A79-4E11-9D74-AC90485E22C9}">
  <sheetPr>
    <tabColor theme="1"/>
  </sheetPr>
  <dimension ref="A1:Z87"/>
  <sheetViews>
    <sheetView zoomScale="85" zoomScaleNormal="85" workbookViewId="0">
      <pane xSplit="7" ySplit="7" topLeftCell="H73" activePane="bottomRight" state="frozen"/>
      <selection pane="topRight" activeCell="H1" sqref="H1"/>
      <selection pane="bottomLeft" activeCell="A8" sqref="A8"/>
      <selection pane="bottomRight" sqref="A1:XFD1048576"/>
    </sheetView>
  </sheetViews>
  <sheetFormatPr defaultColWidth="8.796875" defaultRowHeight="12.1" x14ac:dyDescent="0.25"/>
  <cols>
    <col min="1" max="1" width="8.796875" style="52"/>
    <col min="2" max="2" width="13" style="52" customWidth="1"/>
    <col min="3" max="3" width="10.3984375" style="52" customWidth="1"/>
    <col min="4" max="4" width="10.19921875" style="52" customWidth="1"/>
    <col min="5" max="5" width="32.296875" style="52" customWidth="1"/>
    <col min="6" max="6" width="44" style="52" customWidth="1"/>
    <col min="7" max="7" width="15.19921875" style="91" customWidth="1"/>
    <col min="8" max="8" width="15.19921875" style="52" customWidth="1"/>
    <col min="9" max="9" width="17.09765625" style="52" customWidth="1"/>
    <col min="10" max="10" width="34.8984375" style="52" customWidth="1"/>
    <col min="11" max="11" width="15.09765625" style="52" customWidth="1"/>
    <col min="12" max="12" width="18.09765625" style="52" customWidth="1"/>
    <col min="13" max="14" width="13.3984375" style="94" customWidth="1"/>
    <col min="15" max="15" width="19" style="94" customWidth="1"/>
    <col min="16" max="18" width="13.3984375" style="94" customWidth="1"/>
    <col min="19" max="19" width="11.8984375" style="52" hidden="1" customWidth="1"/>
    <col min="20" max="21" width="8.796875" style="52" hidden="1" customWidth="1"/>
    <col min="22" max="22" width="11" style="52" hidden="1" customWidth="1"/>
    <col min="23" max="23" width="8.796875" style="52" hidden="1" customWidth="1"/>
    <col min="24" max="16384" width="8.796875" style="52"/>
  </cols>
  <sheetData>
    <row r="1" spans="1:26" x14ac:dyDescent="0.25">
      <c r="A1" s="93" t="s">
        <v>353</v>
      </c>
      <c r="E1" s="52" t="s">
        <v>293</v>
      </c>
      <c r="M1" s="94" t="s">
        <v>245</v>
      </c>
      <c r="N1" s="95" t="s">
        <v>256</v>
      </c>
    </row>
    <row r="2" spans="1:26" x14ac:dyDescent="0.25">
      <c r="A2" s="88" t="s">
        <v>289</v>
      </c>
      <c r="E2" s="52" t="s">
        <v>286</v>
      </c>
      <c r="M2" s="94" t="s">
        <v>246</v>
      </c>
      <c r="N2" s="95" t="s">
        <v>255</v>
      </c>
    </row>
    <row r="3" spans="1:26" ht="14.4" customHeight="1" x14ac:dyDescent="0.25">
      <c r="A3" s="112" t="s">
        <v>291</v>
      </c>
      <c r="B3" s="112"/>
      <c r="C3" s="112"/>
      <c r="E3" s="52" t="s">
        <v>287</v>
      </c>
      <c r="M3" s="94" t="s">
        <v>247</v>
      </c>
      <c r="N3" s="95" t="s">
        <v>254</v>
      </c>
    </row>
    <row r="4" spans="1:26" ht="21.05" customHeight="1" x14ac:dyDescent="0.25">
      <c r="A4" s="165" t="s">
        <v>337</v>
      </c>
      <c r="B4" s="165"/>
      <c r="C4" s="165"/>
      <c r="D4" s="165"/>
      <c r="E4" s="52" t="s">
        <v>290</v>
      </c>
      <c r="M4" s="94" t="s">
        <v>248</v>
      </c>
      <c r="N4" s="95" t="s">
        <v>257</v>
      </c>
    </row>
    <row r="5" spans="1:26" ht="25.35" customHeight="1" x14ac:dyDescent="0.25">
      <c r="A5" s="211" t="s">
        <v>338</v>
      </c>
      <c r="B5" s="211"/>
      <c r="C5" s="211"/>
      <c r="D5" s="211"/>
      <c r="E5" s="52" t="s">
        <v>288</v>
      </c>
      <c r="M5" s="210" t="s">
        <v>265</v>
      </c>
      <c r="N5" s="210"/>
      <c r="O5" s="210"/>
      <c r="P5" s="210"/>
      <c r="Q5" s="210"/>
      <c r="R5" s="210"/>
    </row>
    <row r="6" spans="1:26" ht="14.4" customHeight="1" x14ac:dyDescent="0.25">
      <c r="A6" s="211"/>
      <c r="B6" s="211"/>
      <c r="C6" s="211"/>
      <c r="D6" s="211"/>
      <c r="M6" s="203" t="s">
        <v>260</v>
      </c>
      <c r="N6" s="203"/>
      <c r="O6" s="203"/>
      <c r="P6" s="203"/>
      <c r="Q6" s="203"/>
      <c r="R6" s="203"/>
    </row>
    <row r="7" spans="1:26" ht="48.4" x14ac:dyDescent="0.3">
      <c r="A7" s="144" t="s">
        <v>243</v>
      </c>
      <c r="B7" s="144" t="s">
        <v>244</v>
      </c>
      <c r="C7" s="144" t="s">
        <v>238</v>
      </c>
      <c r="D7" s="144" t="s">
        <v>0</v>
      </c>
      <c r="E7" s="89" t="s">
        <v>1</v>
      </c>
      <c r="F7" s="89" t="s">
        <v>2</v>
      </c>
      <c r="G7" s="144" t="s">
        <v>3</v>
      </c>
      <c r="H7" s="144" t="s">
        <v>143</v>
      </c>
      <c r="I7" s="90" t="s">
        <v>294</v>
      </c>
      <c r="J7" s="144" t="s">
        <v>295</v>
      </c>
      <c r="K7" s="144" t="s">
        <v>76</v>
      </c>
      <c r="L7" s="144" t="s">
        <v>292</v>
      </c>
      <c r="M7" s="144" t="s">
        <v>245</v>
      </c>
      <c r="N7" s="144" t="s">
        <v>246</v>
      </c>
      <c r="O7" s="144" t="s">
        <v>247</v>
      </c>
      <c r="P7" s="144" t="s">
        <v>248</v>
      </c>
      <c r="Q7" s="144" t="s">
        <v>249</v>
      </c>
      <c r="R7" s="144" t="s">
        <v>252</v>
      </c>
      <c r="S7" s="52" t="s">
        <v>273</v>
      </c>
      <c r="T7" s="144" t="str">
        <f t="shared" ref="T7:T38" si="0">D7&amp;G7</f>
        <v>#Target Pollutant(s): NOx and/or VOC</v>
      </c>
      <c r="U7" s="144" t="str">
        <f t="shared" ref="U7:U38" si="1">A7</f>
        <v>C-E Rank</v>
      </c>
      <c r="V7" s="52" t="s">
        <v>272</v>
      </c>
      <c r="W7" s="52" t="s">
        <v>274</v>
      </c>
      <c r="X7" s="52" t="s">
        <v>301</v>
      </c>
      <c r="Y7" s="185" t="s">
        <v>349</v>
      </c>
    </row>
    <row r="8" spans="1:26" ht="14.4" x14ac:dyDescent="0.3">
      <c r="A8" s="92">
        <v>1</v>
      </c>
      <c r="B8" s="92">
        <f>VLOOKUP(D8,EmissRed_Shortlist!$D$8:$W$87,20,FALSE)</f>
        <v>33</v>
      </c>
      <c r="C8" s="153" t="str">
        <f>VLOOKUP(D8,Shortlist_xref!$A$5:$C$77,2,FALSE)</f>
        <v>EmissRed</v>
      </c>
      <c r="D8" s="57" t="s">
        <v>175</v>
      </c>
      <c r="E8" s="58" t="s">
        <v>174</v>
      </c>
      <c r="F8" s="12" t="s">
        <v>176</v>
      </c>
      <c r="G8" s="57" t="s">
        <v>12</v>
      </c>
      <c r="H8" s="157">
        <f>IF($Y8="mobile",SUMIFS(Mobile_options!F:F,Mobile_options!$B:$B,$D8,Mobile_options!$E:$E,$G8),IF($Y8="nonpoint",SUMIFS(Nonpoint_options!F:F,Nonpoint_options!$B:$B,$D8,Nonpoint_options!$E:$E,$G8),SUMIFS(Point_options!F:F,Point_options!$B:$B,$D8,Point_options!$E:$E,$G8)))</f>
        <v>0.5</v>
      </c>
      <c r="I8" s="154">
        <f>IF($Y8="mobile",SUMIFS(Mobile_options!G:G,Mobile_options!$B:$B,$D8,Mobile_options!$E:$E,$G8),IF($Y8="nonpoint",SUMIFS(Nonpoint_options!G:G,Nonpoint_options!$B:$B,$D8,Nonpoint_options!$E:$E,$G8),SUMIFS(Point_options!G:G,Point_options!$B:$B,$D8,Point_options!$E:$E,$G8)))</f>
        <v>0.5</v>
      </c>
      <c r="J8" s="158" t="str">
        <f>IF(Y8="mobile",VLOOKUP($D8&amp;$G8,Mobile_options!$X$1:$Y$150,2,FALSE),IF(Y8="nonpoint",VLOOKUP($D8&amp;$G8,Nonpoint_options!$W$1:$X$150,2,FALSE),VLOOKUP($D8&amp;$G8,Point_options!$U$1:$V$150,2,FALSE)))</f>
        <v>$0</v>
      </c>
      <c r="K8" s="159">
        <f>IF($Y8="mobile",SUMIFS(Mobile_options!I:I,Mobile_options!$B:$B,$D8,Mobile_options!$E:$E,$G8),IF($Y8="nonpoint",SUMIFS(Nonpoint_options!I:I,Nonpoint_options!$B:$B,$D8,Nonpoint_options!$E:$E,$G8),SUMIFS(Point_options!I:I,Point_options!$B:$B,$D8,Point_options!$E:$E,$G8)))</f>
        <v>6.9764231393412597E-3</v>
      </c>
      <c r="L8" s="168">
        <f>IF($Y8="mobile",SUMIFS(Mobile_options!J:J,Mobile_options!$B:$B,$D8,Mobile_options!$E:$E,$G8),IF($Y8="nonpoint",SUMIFS(Nonpoint_options!J:J,Nonpoint_options!$B:$B,$D8,Nonpoint_options!$E:$E,$G8),SUMIFS(Point_options!J:J,Point_options!$B:$B,$D8,Point_options!$E:$E,$G8)))</f>
        <v>1870.1432239178428</v>
      </c>
      <c r="M8" s="92" t="s">
        <v>250</v>
      </c>
      <c r="N8" s="92" t="s">
        <v>250</v>
      </c>
      <c r="O8" s="92" t="s">
        <v>250</v>
      </c>
      <c r="P8" s="92" t="s">
        <v>250</v>
      </c>
      <c r="Q8" s="92" t="s">
        <v>251</v>
      </c>
      <c r="R8" s="92" t="s">
        <v>253</v>
      </c>
      <c r="S8" s="52" t="str">
        <f>IF(ISNA(VLOOKUP($D8,Mobile_state_reductions!$B$4:$X$114,23,FALSE))=TRUE,"",VLOOKUP($D8,Mobile_state_reductions!$B$4:$X$114,23,FALSE))</f>
        <v/>
      </c>
      <c r="T8" s="52" t="str">
        <f t="shared" si="0"/>
        <v>M-6NOx</v>
      </c>
      <c r="U8" s="52">
        <f t="shared" si="1"/>
        <v>1</v>
      </c>
      <c r="V8" s="52" t="str">
        <f>IF(ISNA(VLOOKUP($D8,Nonpoint_state_reductions!$B$4:$X$108,23,FALSE))=TRUE,"",VLOOKUP($D8,Nonpoint_state_reductions!$B$4:$X$108,23,FALSE))</f>
        <v/>
      </c>
      <c r="W8" s="52" t="str">
        <f>IF(ISNA(VLOOKUP($D8,Point_state_reductions!$B$3:$X$117,23,FALSE)),"",VLOOKUP($D8,Point_state_reductions!$B$3:$X$117,23,FALSE))</f>
        <v/>
      </c>
      <c r="Y8" s="185" t="str">
        <f>VLOOKUP(D8,EmissRed_Shortlist!$D$8:$V$111,19,FALSE)</f>
        <v>mobile</v>
      </c>
      <c r="Z8" s="201">
        <f>A8</f>
        <v>1</v>
      </c>
    </row>
    <row r="9" spans="1:26" ht="24.2" x14ac:dyDescent="0.3">
      <c r="A9" s="92">
        <v>2</v>
      </c>
      <c r="B9" s="92">
        <f>VLOOKUP(D9,EmissRed_Shortlist!$D$8:$W$87,20,FALSE)</f>
        <v>70</v>
      </c>
      <c r="C9" s="153" t="str">
        <f>VLOOKUP(D9,Shortlist_xref!$A$5:$C$77,2,FALSE)</f>
        <v>CE</v>
      </c>
      <c r="D9" s="57" t="s">
        <v>180</v>
      </c>
      <c r="E9" s="58" t="s">
        <v>181</v>
      </c>
      <c r="F9" s="12" t="s">
        <v>182</v>
      </c>
      <c r="G9" s="57" t="s">
        <v>12</v>
      </c>
      <c r="H9" s="157">
        <f>IF($Y9="mobile",SUMIFS(Mobile_options!F:F,Mobile_options!$B:$B,$D9,Mobile_options!$E:$E,$G9),IF($Y9="nonpoint",SUMIFS(Nonpoint_options!F:F,Nonpoint_options!$B:$B,$D9,Nonpoint_options!$E:$E,$G9),SUMIFS(Point_options!F:F,Point_options!$B:$B,$D9,Point_options!$E:$E,$G9)))</f>
        <v>0.01</v>
      </c>
      <c r="I9" s="154">
        <f>IF($Y9="mobile",SUMIFS(Mobile_options!G:G,Mobile_options!$B:$B,$D9,Mobile_options!$E:$E,$G9),IF($Y9="nonpoint",SUMIFS(Nonpoint_options!G:G,Nonpoint_options!$B:$B,$D9,Nonpoint_options!$E:$E,$G9),SUMIFS(Point_options!G:G,Point_options!$B:$B,$D9,Point_options!$E:$E,$G9)))</f>
        <v>2.7999999999999997E-2</v>
      </c>
      <c r="J9" s="158" t="str">
        <f>IF(Y9="mobile",VLOOKUP($D9&amp;$G9,Mobile_options!$X$1:$Y$150,2,FALSE),IF(Y9="nonpoint",VLOOKUP($D9&amp;$G9,Nonpoint_options!$W$1:$X$150,2,FALSE),VLOOKUP($D9&amp;$G9,Point_options!$U$1:$V$150,2,FALSE)))</f>
        <v>$ 0</v>
      </c>
      <c r="K9" s="159">
        <f>IF($Y9="mobile",SUMIFS(Mobile_options!I:I,Mobile_options!$B:$B,$D9,Mobile_options!$E:$E,$G9),IF($Y9="nonpoint",SUMIFS(Nonpoint_options!I:I,Nonpoint_options!$B:$B,$D9,Nonpoint_options!$E:$E,$G9),SUMIFS(Point_options!I:I,Point_options!$B:$B,$D9,Point_options!$E:$E,$G9)))</f>
        <v>9.7099050388806174E-2</v>
      </c>
      <c r="L9" s="168">
        <f>IF($Y9="mobile",SUMIFS(Mobile_options!J:J,Mobile_options!$B:$B,$D9,Mobile_options!$E:$E,$G9),IF($Y9="nonpoint",SUMIFS(Nonpoint_options!J:J,Nonpoint_options!$B:$B,$D9,Nonpoint_options!$E:$E,$G9),SUMIFS(Point_options!J:J,Point_options!$B:$B,$D9,Point_options!$E:$E,$G9)))</f>
        <v>29.152450017345824</v>
      </c>
      <c r="M9" s="92" t="s">
        <v>250</v>
      </c>
      <c r="N9" s="92" t="s">
        <v>250</v>
      </c>
      <c r="O9" s="92" t="s">
        <v>261</v>
      </c>
      <c r="P9" s="92" t="s">
        <v>250</v>
      </c>
      <c r="Q9" s="92" t="s">
        <v>251</v>
      </c>
      <c r="R9" s="92" t="s">
        <v>251</v>
      </c>
      <c r="S9" s="52" t="str">
        <f>IF(ISNA(VLOOKUP($D9,Mobile_state_reductions!$B$4:$X$114,23,FALSE))=TRUE,"",VLOOKUP($D9,Mobile_state_reductions!$B$4:$X$114,23,FALSE))</f>
        <v/>
      </c>
      <c r="T9" s="52" t="str">
        <f t="shared" si="0"/>
        <v>O-33NOx</v>
      </c>
      <c r="U9" s="52">
        <f t="shared" si="1"/>
        <v>2</v>
      </c>
      <c r="V9" s="52" t="str">
        <f>IF(ISNA(VLOOKUP($D9,Nonpoint_state_reductions!$B$4:$X$108,23,FALSE))=TRUE,"",VLOOKUP($D9,Nonpoint_state_reductions!$B$4:$X$108,23,FALSE))</f>
        <v/>
      </c>
      <c r="W9" s="52" t="str">
        <f>IF(ISNA(VLOOKUP($D9,Point_state_reductions!$B$3:$X$117,23,FALSE)),"",VLOOKUP($D9,Point_state_reductions!$B$3:$X$117,23,FALSE))</f>
        <v/>
      </c>
      <c r="Y9" s="185" t="str">
        <f>VLOOKUP(D9,EmissRed_Shortlist!$D$8:$V$111,19,FALSE)</f>
        <v>mobile</v>
      </c>
      <c r="Z9" s="201">
        <f t="shared" ref="Z9:Z72" si="2">A9</f>
        <v>2</v>
      </c>
    </row>
    <row r="10" spans="1:26" ht="24.2" x14ac:dyDescent="0.3">
      <c r="A10" s="92">
        <v>3</v>
      </c>
      <c r="B10" s="92">
        <f>VLOOKUP(D10,EmissRed_Shortlist!$D$8:$W$87,20,FALSE)</f>
        <v>70</v>
      </c>
      <c r="C10" s="153" t="str">
        <f>VLOOKUP(D10,Shortlist_xref!$A$5:$C$77,2,FALSE)</f>
        <v>CE</v>
      </c>
      <c r="D10" s="57" t="s">
        <v>180</v>
      </c>
      <c r="E10" s="58" t="s">
        <v>181</v>
      </c>
      <c r="F10" s="12" t="s">
        <v>182</v>
      </c>
      <c r="G10" s="57" t="s">
        <v>53</v>
      </c>
      <c r="H10" s="157">
        <f>IF($Y10="mobile",SUMIFS(Mobile_options!F:F,Mobile_options!$B:$B,$D10,Mobile_options!$E:$E,$G10),IF($Y10="nonpoint",SUMIFS(Nonpoint_options!F:F,Nonpoint_options!$B:$B,$D10,Nonpoint_options!$E:$E,$G10),SUMIFS(Point_options!F:F,Point_options!$B:$B,$D10,Point_options!$E:$E,$G10)))</f>
        <v>0.01</v>
      </c>
      <c r="I10" s="154">
        <f>IF($Y10="mobile",SUMIFS(Mobile_options!G:G,Mobile_options!$B:$B,$D10,Mobile_options!$E:$E,$G10),IF($Y10="nonpoint",SUMIFS(Nonpoint_options!G:G,Nonpoint_options!$B:$B,$D10,Nonpoint_options!$E:$E,$G10),SUMIFS(Point_options!G:G,Point_options!$B:$B,$D10,Point_options!$E:$E,$G10)))</f>
        <v>1.6749999999999998E-2</v>
      </c>
      <c r="J10" s="158" t="str">
        <f>IF(Y10="mobile",VLOOKUP($D10&amp;$G10,Mobile_options!$X$1:$Y$150,2,FALSE),IF(Y10="nonpoint",VLOOKUP($D10&amp;$G10,Nonpoint_options!$W$1:$X$150,2,FALSE),VLOOKUP($D10&amp;$G10,Point_options!$U$1:$V$150,2,FALSE)))</f>
        <v>$ 0</v>
      </c>
      <c r="K10" s="159">
        <f>IF($Y10="mobile",SUMIFS(Mobile_options!I:I,Mobile_options!$B:$B,$D10,Mobile_options!$E:$E,$G10),IF($Y10="nonpoint",SUMIFS(Nonpoint_options!I:I,Nonpoint_options!$B:$B,$D10,Nonpoint_options!$E:$E,$G10),SUMIFS(Point_options!I:I,Point_options!$B:$B,$D10,Point_options!$E:$E,$G10)))</f>
        <v>8.5013330242014726E-2</v>
      </c>
      <c r="L10" s="168">
        <f>IF($Y10="mobile",SUMIFS(Mobile_options!J:J,Mobile_options!$B:$B,$D10,Mobile_options!$E:$E,$G10),IF($Y10="nonpoint",SUMIFS(Nonpoint_options!J:J,Nonpoint_options!$B:$B,$D10,Nonpoint_options!$E:$E,$G10),SUMIFS(Point_options!J:J,Point_options!$B:$B,$D10,Point_options!$E:$E,$G10)))</f>
        <v>21.482069049912266</v>
      </c>
      <c r="M10" s="92" t="s">
        <v>250</v>
      </c>
      <c r="N10" s="92" t="s">
        <v>250</v>
      </c>
      <c r="O10" s="92" t="s">
        <v>261</v>
      </c>
      <c r="P10" s="92" t="s">
        <v>250</v>
      </c>
      <c r="Q10" s="92" t="s">
        <v>251</v>
      </c>
      <c r="R10" s="92" t="s">
        <v>251</v>
      </c>
      <c r="S10" s="52" t="str">
        <f>IF(ISNA(VLOOKUP($D10,Mobile_state_reductions!$B$4:$X$114,23,FALSE))=TRUE,"",VLOOKUP($D10,Mobile_state_reductions!$B$4:$X$114,23,FALSE))</f>
        <v/>
      </c>
      <c r="T10" s="52" t="str">
        <f t="shared" si="0"/>
        <v>O-33VOC</v>
      </c>
      <c r="U10" s="52">
        <f t="shared" si="1"/>
        <v>3</v>
      </c>
      <c r="V10" s="52" t="str">
        <f>IF(ISNA(VLOOKUP($D10,Nonpoint_state_reductions!$B$4:$X$108,23,FALSE))=TRUE,"",VLOOKUP($D10,Nonpoint_state_reductions!$B$4:$X$108,23,FALSE))</f>
        <v/>
      </c>
      <c r="W10" s="52" t="str">
        <f>IF(ISNA(VLOOKUP($D10,Point_state_reductions!$B$3:$X$117,23,FALSE)),"",VLOOKUP($D10,Point_state_reductions!$B$3:$X$117,23,FALSE))</f>
        <v/>
      </c>
      <c r="Y10" s="185" t="str">
        <f>VLOOKUP(D10,EmissRed_Shortlist!$D$8:$V$111,19,FALSE)</f>
        <v>mobile</v>
      </c>
      <c r="Z10" s="201">
        <f t="shared" si="2"/>
        <v>3</v>
      </c>
    </row>
    <row r="11" spans="1:26" ht="14.4" x14ac:dyDescent="0.3">
      <c r="A11" s="92">
        <v>4</v>
      </c>
      <c r="B11" s="92">
        <f>VLOOKUP(D11,EmissRed_Shortlist!$D$8:$W$87,20,FALSE)</f>
        <v>37</v>
      </c>
      <c r="C11" s="153" t="str">
        <f>VLOOKUP(D11,Shortlist_xref!$A$5:$C$77,2,FALSE)</f>
        <v>C-E</v>
      </c>
      <c r="D11" s="3" t="s">
        <v>78</v>
      </c>
      <c r="E11" s="5" t="s">
        <v>79</v>
      </c>
      <c r="F11" s="5" t="s">
        <v>80</v>
      </c>
      <c r="G11" s="3" t="s">
        <v>12</v>
      </c>
      <c r="H11" s="157">
        <f>IF($Y11="mobile",SUMIFS(Mobile_options!F:F,Mobile_options!$B:$B,$D11,Mobile_options!$E:$E,$G11),IF($Y11="nonpoint",SUMIFS(Nonpoint_options!F:F,Nonpoint_options!$B:$B,$D11,Nonpoint_options!$E:$E,$G11),SUMIFS(Point_options!F:F,Point_options!$B:$B,$D11,Point_options!$E:$E,$G11)))</f>
        <v>0.1</v>
      </c>
      <c r="I11" s="154">
        <f>IF($Y11="mobile",SUMIFS(Mobile_options!G:G,Mobile_options!$B:$B,$D11,Mobile_options!$E:$E,$G11),IF($Y11="nonpoint",SUMIFS(Nonpoint_options!G:G,Nonpoint_options!$B:$B,$D11,Nonpoint_options!$E:$E,$G11),SUMIFS(Point_options!G:G,Point_options!$B:$B,$D11,Point_options!$E:$E,$G11)))</f>
        <v>0.45</v>
      </c>
      <c r="J11" s="158">
        <f>IF(Y11="mobile",VLOOKUP($D11&amp;$G11,Mobile_options!$X$1:$Y$150,2,FALSE),IF(Y11="nonpoint",VLOOKUP($D11&amp;$G11,Nonpoint_options!$W$1:$X$150,2,FALSE),VLOOKUP($D11&amp;$G11,Point_options!$U$1:$V$150,2,FALSE)))</f>
        <v>0</v>
      </c>
      <c r="K11" s="159">
        <f>IF($Y11="mobile",SUMIFS(Mobile_options!I:I,Mobile_options!$B:$B,$D11,Mobile_options!$E:$E,$G11),IF($Y11="nonpoint",SUMIFS(Nonpoint_options!I:I,Nonpoint_options!$B:$B,$D11,Nonpoint_options!$E:$E,$G11),SUMIFS(Point_options!I:I,Point_options!$B:$B,$D11,Point_options!$E:$E,$G11)))</f>
        <v>2.9947142923666036E-2</v>
      </c>
      <c r="L11" s="168">
        <f>IF($Y11="mobile",SUMIFS(Mobile_options!J:J,Mobile_options!$B:$B,$D11,Mobile_options!$E:$E,$G11),IF($Y11="nonpoint",SUMIFS(Nonpoint_options!J:J,Nonpoint_options!$B:$B,$D11,Nonpoint_options!$E:$E,$G11),SUMIFS(Point_options!J:J,Point_options!$B:$B,$D11,Point_options!$E:$E,$G11)))</f>
        <v>1445.0070119374473</v>
      </c>
      <c r="M11" s="92" t="s">
        <v>250</v>
      </c>
      <c r="N11" s="92" t="s">
        <v>250</v>
      </c>
      <c r="O11" s="92" t="s">
        <v>262</v>
      </c>
      <c r="P11" s="92" t="s">
        <v>250</v>
      </c>
      <c r="Q11" s="92" t="s">
        <v>251</v>
      </c>
      <c r="R11" s="92" t="s">
        <v>253</v>
      </c>
      <c r="S11" s="52" t="str">
        <f>IF(ISNA(VLOOKUP($D11,Mobile_state_reductions!$B$4:$X$114,23,FALSE))=TRUE,"",VLOOKUP($D11,Mobile_state_reductions!$B$4:$X$114,23,FALSE))</f>
        <v/>
      </c>
      <c r="T11" s="52" t="str">
        <f t="shared" si="0"/>
        <v>NP - 1NOx</v>
      </c>
      <c r="U11" s="52">
        <f t="shared" si="1"/>
        <v>4</v>
      </c>
      <c r="V11" s="52" t="str">
        <f>IF(ISNA(VLOOKUP($D11,Nonpoint_state_reductions!$B$4:$X$108,23,FALSE))=TRUE,"",VLOOKUP($D11,Nonpoint_state_reductions!$B$4:$X$108,23,FALSE))</f>
        <v>ILINMIMNOHWI</v>
      </c>
      <c r="W11" s="52" t="str">
        <f>IF(ISNA(VLOOKUP($D11,Point_state_reductions!$B$3:$X$117,23,FALSE)),"",VLOOKUP($D11,Point_state_reductions!$B$3:$X$117,23,FALSE))</f>
        <v/>
      </c>
      <c r="Y11" s="185" t="str">
        <f>VLOOKUP(D11,EmissRed_Shortlist!$D$8:$V$111,19,FALSE)</f>
        <v>nonpoint</v>
      </c>
      <c r="Z11" s="201">
        <f t="shared" si="2"/>
        <v>4</v>
      </c>
    </row>
    <row r="12" spans="1:26" ht="14.4" x14ac:dyDescent="0.3">
      <c r="A12" s="92">
        <v>5</v>
      </c>
      <c r="B12" s="92">
        <f>VLOOKUP(D12,EmissRed_Shortlist!$D$8:$W$87,20,FALSE)</f>
        <v>36</v>
      </c>
      <c r="C12" s="153" t="str">
        <f>VLOOKUP(D12,Shortlist_xref!$A$5:$C$77,2,FALSE)</f>
        <v>C-E</v>
      </c>
      <c r="D12" s="3" t="s">
        <v>93</v>
      </c>
      <c r="E12" s="5" t="s">
        <v>94</v>
      </c>
      <c r="F12" s="5" t="s">
        <v>95</v>
      </c>
      <c r="G12" s="3" t="s">
        <v>12</v>
      </c>
      <c r="H12" s="157">
        <f>IF($Y12="mobile",SUMIFS(Mobile_options!F:F,Mobile_options!$B:$B,$D12,Mobile_options!$E:$E,$G12),IF($Y12="nonpoint",SUMIFS(Nonpoint_options!F:F,Nonpoint_options!$B:$B,$D12,Nonpoint_options!$E:$E,$G12),SUMIFS(Point_options!F:F,Point_options!$B:$B,$D12,Point_options!$E:$E,$G12)))</f>
        <v>0.1</v>
      </c>
      <c r="I12" s="154">
        <f>IF($Y12="mobile",SUMIFS(Mobile_options!G:G,Mobile_options!$B:$B,$D12,Mobile_options!$E:$E,$G12),IF($Y12="nonpoint",SUMIFS(Nonpoint_options!G:G,Nonpoint_options!$B:$B,$D12,Nonpoint_options!$E:$E,$G12),SUMIFS(Point_options!G:G,Point_options!$B:$B,$D12,Point_options!$E:$E,$G12)))</f>
        <v>1</v>
      </c>
      <c r="J12" s="158">
        <f>IF(Y12="mobile",VLOOKUP($D12&amp;$G12,Mobile_options!$X$1:$Y$150,2,FALSE),IF(Y12="nonpoint",VLOOKUP($D12&amp;$G12,Nonpoint_options!$W$1:$X$150,2,FALSE),VLOOKUP($D12&amp;$G12,Point_options!$U$1:$V$150,2,FALSE)))</f>
        <v>0</v>
      </c>
      <c r="K12" s="159">
        <f>IF($Y12="mobile",SUMIFS(Mobile_options!I:I,Mobile_options!$B:$B,$D12,Mobile_options!$E:$E,$G12),IF($Y12="nonpoint",SUMIFS(Nonpoint_options!I:I,Nonpoint_options!$B:$B,$D12,Nonpoint_options!$E:$E,$G12),SUMIFS(Point_options!I:I,Point_options!$B:$B,$D12,Point_options!$E:$E,$G12)))</f>
        <v>7.9355539262028676E-3</v>
      </c>
      <c r="L12" s="168">
        <f>IF($Y12="mobile",SUMIFS(Mobile_options!J:J,Mobile_options!$B:$B,$D12,Mobile_options!$E:$E,$G12),IF($Y12="nonpoint",SUMIFS(Nonpoint_options!J:J,Nonpoint_options!$B:$B,$D12,Nonpoint_options!$E:$E,$G12),SUMIFS(Point_options!J:J,Point_options!$B:$B,$D12,Point_options!$E:$E,$G12)))</f>
        <v>850.90150678700002</v>
      </c>
      <c r="M12" s="92" t="s">
        <v>250</v>
      </c>
      <c r="N12" s="92" t="s">
        <v>250</v>
      </c>
      <c r="O12" s="92" t="s">
        <v>263</v>
      </c>
      <c r="P12" s="92" t="s">
        <v>250</v>
      </c>
      <c r="Q12" s="92" t="s">
        <v>251</v>
      </c>
      <c r="R12" s="92" t="s">
        <v>253</v>
      </c>
      <c r="S12" s="52" t="str">
        <f>IF(ISNA(VLOOKUP($D12,Mobile_state_reductions!$B$4:$X$114,23,FALSE))=TRUE,"",VLOOKUP($D12,Mobile_state_reductions!$B$4:$X$114,23,FALSE))</f>
        <v/>
      </c>
      <c r="T12" s="52" t="str">
        <f t="shared" si="0"/>
        <v>NP - 13NOx</v>
      </c>
      <c r="U12" s="52">
        <f t="shared" si="1"/>
        <v>5</v>
      </c>
      <c r="V12" s="52" t="str">
        <f>IF(ISNA(VLOOKUP($D12,Nonpoint_state_reductions!$B$4:$X$108,23,FALSE))=TRUE,"",VLOOKUP($D12,Nonpoint_state_reductions!$B$4:$X$108,23,FALSE))</f>
        <v>ILINMIOHWI</v>
      </c>
      <c r="W12" s="52" t="str">
        <f>IF(ISNA(VLOOKUP($D12,Point_state_reductions!$B$3:$X$117,23,FALSE)),"",VLOOKUP($D12,Point_state_reductions!$B$3:$X$117,23,FALSE))</f>
        <v/>
      </c>
      <c r="Y12" s="185" t="str">
        <f>VLOOKUP(D12,EmissRed_Shortlist!$D$8:$V$111,19,FALSE)</f>
        <v>nonpoint</v>
      </c>
      <c r="Z12" s="201">
        <f t="shared" si="2"/>
        <v>5</v>
      </c>
    </row>
    <row r="13" spans="1:26" ht="14.4" x14ac:dyDescent="0.3">
      <c r="A13" s="92">
        <v>6</v>
      </c>
      <c r="B13" s="92">
        <f>VLOOKUP(D13,EmissRed_Shortlist!$D$8:$W$87,20,FALSE)</f>
        <v>36</v>
      </c>
      <c r="C13" s="153" t="str">
        <f>VLOOKUP(D13,Shortlist_xref!$A$5:$C$77,2,FALSE)</f>
        <v>C-E</v>
      </c>
      <c r="D13" s="3" t="s">
        <v>93</v>
      </c>
      <c r="E13" s="5" t="s">
        <v>94</v>
      </c>
      <c r="F13" s="5" t="s">
        <v>95</v>
      </c>
      <c r="G13" s="3" t="s">
        <v>53</v>
      </c>
      <c r="H13" s="157">
        <f>IF($Y13="mobile",SUMIFS(Mobile_options!F:F,Mobile_options!$B:$B,$D13,Mobile_options!$E:$E,$G13),IF($Y13="nonpoint",SUMIFS(Nonpoint_options!F:F,Nonpoint_options!$B:$B,$D13,Nonpoint_options!$E:$E,$G13),SUMIFS(Point_options!F:F,Point_options!$B:$B,$D13,Point_options!$E:$E,$G13)))</f>
        <v>0.1</v>
      </c>
      <c r="I13" s="154">
        <f>IF($Y13="mobile",SUMIFS(Mobile_options!G:G,Mobile_options!$B:$B,$D13,Mobile_options!$E:$E,$G13),IF($Y13="nonpoint",SUMIFS(Nonpoint_options!G:G,Nonpoint_options!$B:$B,$D13,Nonpoint_options!$E:$E,$G13),SUMIFS(Point_options!G:G,Point_options!$B:$B,$D13,Point_options!$E:$E,$G13)))</f>
        <v>1</v>
      </c>
      <c r="J13" s="158">
        <f>IF(Y13="mobile",VLOOKUP($D13&amp;$G13,Mobile_options!$X$1:$Y$150,2,FALSE),IF(Y13="nonpoint",VLOOKUP($D13&amp;$G13,Nonpoint_options!$W$1:$X$150,2,FALSE),VLOOKUP($D13&amp;$G13,Point_options!$U$1:$V$150,2,FALSE)))</f>
        <v>0</v>
      </c>
      <c r="K13" s="159">
        <f>IF($Y13="mobile",SUMIFS(Mobile_options!I:I,Mobile_options!$B:$B,$D13,Mobile_options!$E:$E,$G13),IF($Y13="nonpoint",SUMIFS(Nonpoint_options!I:I,Nonpoint_options!$B:$B,$D13,Nonpoint_options!$E:$E,$G13),SUMIFS(Point_options!I:I,Point_options!$B:$B,$D13,Point_options!$E:$E,$G13)))</f>
        <v>1.0386347172294294E-2</v>
      </c>
      <c r="L13" s="168">
        <f>IF($Y13="mobile",SUMIFS(Mobile_options!J:J,Mobile_options!$B:$B,$D13,Mobile_options!$E:$E,$G13),IF($Y13="nonpoint",SUMIFS(Nonpoint_options!J:J,Nonpoint_options!$B:$B,$D13,Nonpoint_options!$E:$E,$G13),SUMIFS(Point_options!J:J,Point_options!$B:$B,$D13,Point_options!$E:$E,$G13)))</f>
        <v>1566.8849269990001</v>
      </c>
      <c r="M13" s="92" t="s">
        <v>250</v>
      </c>
      <c r="N13" s="92" t="s">
        <v>250</v>
      </c>
      <c r="O13" s="92" t="s">
        <v>263</v>
      </c>
      <c r="P13" s="92" t="s">
        <v>250</v>
      </c>
      <c r="Q13" s="92" t="s">
        <v>251</v>
      </c>
      <c r="R13" s="92" t="s">
        <v>253</v>
      </c>
      <c r="S13" s="52" t="str">
        <f>IF(ISNA(VLOOKUP($D13,Mobile_state_reductions!$B$4:$X$114,23,FALSE))=TRUE,"",VLOOKUP($D13,Mobile_state_reductions!$B$4:$X$114,23,FALSE))</f>
        <v/>
      </c>
      <c r="T13" s="52" t="str">
        <f t="shared" si="0"/>
        <v>NP - 13VOC</v>
      </c>
      <c r="U13" s="52">
        <f t="shared" si="1"/>
        <v>6</v>
      </c>
      <c r="V13" s="52" t="str">
        <f>IF(ISNA(VLOOKUP($D13,Nonpoint_state_reductions!$B$4:$X$108,23,FALSE))=TRUE,"",VLOOKUP($D13,Nonpoint_state_reductions!$B$4:$X$108,23,FALSE))</f>
        <v>ILINMIOHWI</v>
      </c>
      <c r="W13" s="52" t="str">
        <f>IF(ISNA(VLOOKUP($D13,Point_state_reductions!$B$3:$X$117,23,FALSE)),"",VLOOKUP($D13,Point_state_reductions!$B$3:$X$117,23,FALSE))</f>
        <v/>
      </c>
      <c r="Y13" s="185" t="str">
        <f>VLOOKUP(D13,EmissRed_Shortlist!$D$8:$V$111,19,FALSE)</f>
        <v>nonpoint</v>
      </c>
      <c r="Z13" s="201">
        <f t="shared" si="2"/>
        <v>6</v>
      </c>
    </row>
    <row r="14" spans="1:26" ht="14.4" x14ac:dyDescent="0.3">
      <c r="A14" s="92">
        <v>7</v>
      </c>
      <c r="B14" s="92">
        <f>VLOOKUP(D14,EmissRed_Shortlist!$D$8:$W$87,20,FALSE)</f>
        <v>43</v>
      </c>
      <c r="C14" s="153" t="str">
        <f>VLOOKUP(D14,Shortlist_xref!$A$5:$C$77,2,FALSE)</f>
        <v>C-E</v>
      </c>
      <c r="D14" s="3" t="s">
        <v>125</v>
      </c>
      <c r="E14" s="5" t="s">
        <v>126</v>
      </c>
      <c r="F14" s="5" t="s">
        <v>112</v>
      </c>
      <c r="G14" s="3" t="s">
        <v>53</v>
      </c>
      <c r="H14" s="157">
        <f>IF($Y14="mobile",SUMIFS(Mobile_options!F:F,Mobile_options!$B:$B,$D14,Mobile_options!$E:$E,$G14),IF($Y14="nonpoint",SUMIFS(Nonpoint_options!F:F,Nonpoint_options!$B:$B,$D14,Nonpoint_options!$E:$E,$G14),SUMIFS(Point_options!F:F,Point_options!$B:$B,$D14,Point_options!$E:$E,$G14)))</f>
        <v>0.1</v>
      </c>
      <c r="I14" s="154">
        <f>IF($Y14="mobile",SUMIFS(Mobile_options!G:G,Mobile_options!$B:$B,$D14,Mobile_options!$E:$E,$G14),IF($Y14="nonpoint",SUMIFS(Nonpoint_options!G:G,Nonpoint_options!$B:$B,$D14,Nonpoint_options!$E:$E,$G14),SUMIFS(Point_options!G:G,Point_options!$B:$B,$D14,Point_options!$E:$E,$G14)))</f>
        <v>1</v>
      </c>
      <c r="J14" s="158">
        <f>IF(Y14="mobile",VLOOKUP($D14&amp;$G14,Mobile_options!$X$1:$Y$150,2,FALSE),IF(Y14="nonpoint",VLOOKUP($D14&amp;$G14,Nonpoint_options!$W$1:$X$150,2,FALSE),VLOOKUP($D14&amp;$G14,Point_options!$U$1:$V$150,2,FALSE)))</f>
        <v>24</v>
      </c>
      <c r="K14" s="159">
        <f>IF($Y14="mobile",SUMIFS(Mobile_options!I:I,Mobile_options!$B:$B,$D14,Mobile_options!$E:$E,$G14),IF($Y14="nonpoint",SUMIFS(Nonpoint_options!I:I,Nonpoint_options!$B:$B,$D14,Nonpoint_options!$E:$E,$G14),SUMIFS(Point_options!I:I,Point_options!$B:$B,$D14,Point_options!$E:$E,$G14)))</f>
        <v>3.7366587488215659E-3</v>
      </c>
      <c r="L14" s="168">
        <f>IF($Y14="mobile",SUMIFS(Mobile_options!J:J,Mobile_options!$B:$B,$D14,Mobile_options!$E:$E,$G14),IF($Y14="nonpoint",SUMIFS(Nonpoint_options!J:J,Nonpoint_options!$B:$B,$D14,Nonpoint_options!$E:$E,$G14),SUMIFS(Point_options!J:J,Point_options!$B:$B,$D14,Point_options!$E:$E,$G14)))</f>
        <v>563.71255203999999</v>
      </c>
      <c r="M14" s="92" t="s">
        <v>250</v>
      </c>
      <c r="N14" s="92" t="s">
        <v>250</v>
      </c>
      <c r="O14" s="92" t="s">
        <v>250</v>
      </c>
      <c r="P14" s="92" t="s">
        <v>250</v>
      </c>
      <c r="Q14" s="92" t="s">
        <v>253</v>
      </c>
      <c r="R14" s="92" t="s">
        <v>253</v>
      </c>
      <c r="S14" s="52" t="str">
        <f>IF(ISNA(VLOOKUP($D14,Mobile_state_reductions!$B$4:$X$114,23,FALSE))=TRUE,"",VLOOKUP($D14,Mobile_state_reductions!$B$4:$X$114,23,FALSE))</f>
        <v/>
      </c>
      <c r="T14" s="52" t="str">
        <f t="shared" si="0"/>
        <v>NP - 77VOC</v>
      </c>
      <c r="U14" s="52">
        <f t="shared" si="1"/>
        <v>7</v>
      </c>
      <c r="V14" s="52" t="str">
        <f>IF(ISNA(VLOOKUP($D14,Nonpoint_state_reductions!$B$4:$X$108,23,FALSE))=TRUE,"",VLOOKUP($D14,Nonpoint_state_reductions!$B$4:$X$108,23,FALSE))</f>
        <v/>
      </c>
      <c r="W14" s="52" t="str">
        <f>IF(ISNA(VLOOKUP($D14,Point_state_reductions!$B$3:$X$117,23,FALSE)),"",VLOOKUP($D14,Point_state_reductions!$B$3:$X$117,23,FALSE))</f>
        <v/>
      </c>
      <c r="Y14" s="185" t="str">
        <f>VLOOKUP(D14,EmissRed_Shortlist!$D$8:$V$111,19,FALSE)</f>
        <v>nonpoint</v>
      </c>
      <c r="Z14" s="201">
        <f t="shared" si="2"/>
        <v>7</v>
      </c>
    </row>
    <row r="15" spans="1:26" ht="24.2" x14ac:dyDescent="0.3">
      <c r="A15" s="92">
        <v>8</v>
      </c>
      <c r="B15" s="92">
        <f>VLOOKUP(D15,EmissRed_Shortlist!$D$8:$W$87,20,FALSE)</f>
        <v>67</v>
      </c>
      <c r="C15" s="153" t="str">
        <f>VLOOKUP(D15,Shortlist_xref!$A$5:$C$77,2,FALSE)</f>
        <v>C-E</v>
      </c>
      <c r="D15" s="3" t="s">
        <v>34</v>
      </c>
      <c r="E15" s="5" t="s">
        <v>33</v>
      </c>
      <c r="F15" s="5" t="s">
        <v>35</v>
      </c>
      <c r="G15" s="3" t="s">
        <v>12</v>
      </c>
      <c r="H15" s="157">
        <f>IF($Y15="mobile",SUMIFS(Mobile_options!F:F,Mobile_options!$B:$B,$D15,Mobile_options!$E:$E,$G15),IF($Y15="nonpoint",SUMIFS(Nonpoint_options!F:F,Nonpoint_options!$B:$B,$D15,Nonpoint_options!$E:$E,$G15),SUMIFS(Point_options!F:F,Point_options!$B:$B,$D15,Point_options!$E:$E,$G15)))</f>
        <v>0.1</v>
      </c>
      <c r="I15" s="154">
        <f>IF($Y15="mobile",SUMIFS(Mobile_options!G:G,Mobile_options!$B:$B,$D15,Mobile_options!$E:$E,$G15),IF($Y15="nonpoint",SUMIFS(Nonpoint_options!G:G,Nonpoint_options!$B:$B,$D15,Nonpoint_options!$E:$E,$G15),SUMIFS(Point_options!G:G,Point_options!$B:$B,$D15,Point_options!$E:$E,$G15)))</f>
        <v>0.3</v>
      </c>
      <c r="J15" s="158">
        <f>IF(Y15="mobile",VLOOKUP($D15&amp;$G15,Mobile_options!$X$1:$Y$150,2,FALSE),IF(Y15="nonpoint",VLOOKUP($D15&amp;$G15,Nonpoint_options!$W$1:$X$150,2,FALSE),VLOOKUP($D15&amp;$G15,Point_options!$U$1:$V$150,2,FALSE)))</f>
        <v>72</v>
      </c>
      <c r="K15" s="159">
        <f>IF($Y15="mobile",SUMIFS(Mobile_options!I:I,Mobile_options!$B:$B,$D15,Mobile_options!$E:$E,$G15),IF($Y15="nonpoint",SUMIFS(Nonpoint_options!I:I,Nonpoint_options!$B:$B,$D15,Nonpoint_options!$E:$E,$G15),SUMIFS(Point_options!I:I,Point_options!$B:$B,$D15,Point_options!$E:$E,$G15)))</f>
        <v>1.9843960412402099E-5</v>
      </c>
      <c r="L15" s="168">
        <f>IF($Y15="mobile",SUMIFS(Mobile_options!J:J,Mobile_options!$B:$B,$D15,Mobile_options!$E:$E,$G15),IF($Y15="nonpoint",SUMIFS(Nonpoint_options!J:J,Nonpoint_options!$B:$B,$D15,Nonpoint_options!$E:$E,$G15),SUMIFS(Point_options!J:J,Point_options!$B:$B,$D15,Point_options!$E:$E,$G15)))</f>
        <v>94.499070000000003</v>
      </c>
      <c r="M15" s="92" t="s">
        <v>250</v>
      </c>
      <c r="N15" s="92" t="s">
        <v>250</v>
      </c>
      <c r="O15" s="92" t="s">
        <v>263</v>
      </c>
      <c r="P15" s="92" t="s">
        <v>250</v>
      </c>
      <c r="Q15" s="92" t="s">
        <v>251</v>
      </c>
      <c r="R15" s="92" t="s">
        <v>253</v>
      </c>
      <c r="S15" s="52" t="str">
        <f>IF(ISNA(VLOOKUP($D15,Mobile_state_reductions!$B$4:$X$114,23,FALSE))=TRUE,"",VLOOKUP($D15,Mobile_state_reductions!$B$4:$X$114,23,FALSE))</f>
        <v/>
      </c>
      <c r="T15" s="52" t="str">
        <f t="shared" si="0"/>
        <v>P - 24NOx</v>
      </c>
      <c r="U15" s="52">
        <f t="shared" si="1"/>
        <v>8</v>
      </c>
      <c r="V15" s="52" t="str">
        <f>IF(ISNA(VLOOKUP($D15,Nonpoint_state_reductions!$B$4:$X$108,23,FALSE))=TRUE,"",VLOOKUP($D15,Nonpoint_state_reductions!$B$4:$X$108,23,FALSE))</f>
        <v/>
      </c>
      <c r="W15" s="52" t="str">
        <f>IF(ISNA(VLOOKUP($D15,Point_state_reductions!$B$3:$X$117,23,FALSE)),"",VLOOKUP($D15,Point_state_reductions!$B$3:$X$117,23,FALSE))</f>
        <v>ILINMIMNOHWI</v>
      </c>
      <c r="Y15" s="185" t="str">
        <f>VLOOKUP(D15,EmissRed_Shortlist!$D$8:$V$111,19,FALSE)</f>
        <v>point</v>
      </c>
      <c r="Z15" s="201">
        <f t="shared" si="2"/>
        <v>8</v>
      </c>
    </row>
    <row r="16" spans="1:26" ht="14.4" x14ac:dyDescent="0.3">
      <c r="A16" s="92">
        <v>9</v>
      </c>
      <c r="B16" s="92">
        <f>VLOOKUP(D16,EmissRed_Shortlist!$D$8:$W$87,20,FALSE)</f>
        <v>46</v>
      </c>
      <c r="C16" s="153" t="str">
        <f>VLOOKUP(D16,Shortlist_xref!$A$5:$C$77,2,FALSE)</f>
        <v>C-E</v>
      </c>
      <c r="D16" s="3" t="s">
        <v>109</v>
      </c>
      <c r="E16" s="5" t="s">
        <v>110</v>
      </c>
      <c r="F16" s="5" t="s">
        <v>111</v>
      </c>
      <c r="G16" s="3" t="s">
        <v>53</v>
      </c>
      <c r="H16" s="157">
        <f>IF($Y16="mobile",SUMIFS(Mobile_options!F:F,Mobile_options!$B:$B,$D16,Mobile_options!$E:$E,$G16),IF($Y16="nonpoint",SUMIFS(Nonpoint_options!F:F,Nonpoint_options!$B:$B,$D16,Nonpoint_options!$E:$E,$G16),SUMIFS(Point_options!F:F,Point_options!$B:$B,$D16,Point_options!$E:$E,$G16)))</f>
        <v>0.1</v>
      </c>
      <c r="I16" s="154">
        <f>IF($Y16="mobile",SUMIFS(Mobile_options!G:G,Mobile_options!$B:$B,$D16,Mobile_options!$E:$E,$G16),IF($Y16="nonpoint",SUMIFS(Nonpoint_options!G:G,Nonpoint_options!$B:$B,$D16,Nonpoint_options!$E:$E,$G16),SUMIFS(Point_options!G:G,Point_options!$B:$B,$D16,Point_options!$E:$E,$G16)))</f>
        <v>0.84</v>
      </c>
      <c r="J16" s="158">
        <f>IF(Y16="mobile",VLOOKUP($D16&amp;$G16,Mobile_options!$X$1:$Y$150,2,FALSE),IF(Y16="nonpoint",VLOOKUP($D16&amp;$G16,Nonpoint_options!$W$1:$X$150,2,FALSE),VLOOKUP($D16&amp;$G16,Point_options!$U$1:$V$150,2,FALSE)))</f>
        <v>118</v>
      </c>
      <c r="K16" s="159">
        <f>IF($Y16="mobile",SUMIFS(Mobile_options!I:I,Mobile_options!$B:$B,$D16,Mobile_options!$E:$E,$G16),IF($Y16="nonpoint",SUMIFS(Nonpoint_options!I:I,Nonpoint_options!$B:$B,$D16,Nonpoint_options!$E:$E,$G16),SUMIFS(Point_options!I:I,Point_options!$B:$B,$D16,Point_options!$E:$E,$G16)))</f>
        <v>3.4921080654905941E-3</v>
      </c>
      <c r="L16" s="168">
        <f>IF($Y16="mobile",SUMIFS(Mobile_options!J:J,Mobile_options!$B:$B,$D16,Mobile_options!$E:$E,$G16),IF($Y16="nonpoint",SUMIFS(Nonpoint_options!J:J,Nonpoint_options!$B:$B,$D16,Nonpoint_options!$E:$E,$G16),SUMIFS(Point_options!J:J,Point_options!$B:$B,$D16,Point_options!$E:$E,$G16)))</f>
        <v>442.52848247999998</v>
      </c>
      <c r="M16" s="92" t="s">
        <v>250</v>
      </c>
      <c r="N16" s="92" t="s">
        <v>250</v>
      </c>
      <c r="O16" s="92" t="s">
        <v>263</v>
      </c>
      <c r="P16" s="92" t="s">
        <v>250</v>
      </c>
      <c r="Q16" s="92" t="s">
        <v>253</v>
      </c>
      <c r="R16" s="92" t="s">
        <v>253</v>
      </c>
      <c r="S16" s="52" t="str">
        <f>IF(ISNA(VLOOKUP($D16,Mobile_state_reductions!$B$4:$X$114,23,FALSE))=TRUE,"",VLOOKUP($D16,Mobile_state_reductions!$B$4:$X$114,23,FALSE))</f>
        <v/>
      </c>
      <c r="T16" s="52" t="str">
        <f t="shared" si="0"/>
        <v>NP - 48VOC</v>
      </c>
      <c r="U16" s="52">
        <f t="shared" si="1"/>
        <v>9</v>
      </c>
      <c r="V16" s="52" t="str">
        <f>IF(ISNA(VLOOKUP($D16,Nonpoint_state_reductions!$B$4:$X$108,23,FALSE))=TRUE,"",VLOOKUP($D16,Nonpoint_state_reductions!$B$4:$X$108,23,FALSE))</f>
        <v>ILINMIMNOHWI</v>
      </c>
      <c r="W16" s="52" t="str">
        <f>IF(ISNA(VLOOKUP($D16,Point_state_reductions!$B$3:$X$117,23,FALSE)),"",VLOOKUP($D16,Point_state_reductions!$B$3:$X$117,23,FALSE))</f>
        <v/>
      </c>
      <c r="Y16" s="185" t="str">
        <f>VLOOKUP(D16,EmissRed_Shortlist!$D$8:$V$111,19,FALSE)</f>
        <v>nonpoint</v>
      </c>
      <c r="Z16" s="201">
        <f t="shared" si="2"/>
        <v>9</v>
      </c>
    </row>
    <row r="17" spans="1:26" ht="14.4" x14ac:dyDescent="0.3">
      <c r="A17" s="166">
        <v>10</v>
      </c>
      <c r="B17" s="166">
        <f>VLOOKUP(D17,EmissRed_Shortlist!$D$8:$W$87,20,FALSE)</f>
        <v>56</v>
      </c>
      <c r="C17" s="160" t="str">
        <f>VLOOKUP(D17,Shortlist_xref!$A$5:$C$77,2,FALSE)</f>
        <v>C-E</v>
      </c>
      <c r="D17" s="160" t="s">
        <v>312</v>
      </c>
      <c r="E17" s="167" t="s">
        <v>115</v>
      </c>
      <c r="F17" s="167" t="s">
        <v>335</v>
      </c>
      <c r="G17" s="160" t="s">
        <v>53</v>
      </c>
      <c r="H17" s="161">
        <f>IF($Y17="mobile",SUMIFS(Mobile_options!F:F,Mobile_options!$B:$B,$D17,Mobile_options!$E:$E,$G17),IF($Y17="nonpoint",SUMIFS(Nonpoint_options!F:F,Nonpoint_options!$B:$B,$D17,Nonpoint_options!$E:$E,$G17),SUMIFS(Point_options!F:F,Point_options!$B:$B,$D17,Point_options!$E:$E,$G17)))</f>
        <v>0.1</v>
      </c>
      <c r="I17" s="162">
        <f>IF($Y17="mobile",SUMIFS(Mobile_options!G:G,Mobile_options!$B:$B,$D17,Mobile_options!$E:$E,$G17),IF($Y17="nonpoint",SUMIFS(Nonpoint_options!G:G,Nonpoint_options!$B:$B,$D17,Nonpoint_options!$E:$E,$G17),SUMIFS(Point_options!G:G,Point_options!$B:$B,$D17,Point_options!$E:$E,$G17)))</f>
        <v>0.64</v>
      </c>
      <c r="J17" s="163">
        <f>IF(Y17="mobile",VLOOKUP($D17&amp;$G17,Mobile_options!$X$1:$Y$150,2,FALSE),IF(Y17="nonpoint",VLOOKUP($D17&amp;$G17,Nonpoint_options!$W$1:$X$150,2,FALSE),VLOOKUP($D17&amp;$G17,Point_options!$U$1:$V$150,2,FALSE)))</f>
        <v>263</v>
      </c>
      <c r="K17" s="164">
        <f>IF($Y17="mobile",SUMIFS(Mobile_options!I:I,Mobile_options!$B:$B,$D17,Mobile_options!$E:$E,$G17),IF($Y17="nonpoint",SUMIFS(Nonpoint_options!I:I,Nonpoint_options!$B:$B,$D17,Nonpoint_options!$E:$E,$G17),SUMIFS(Point_options!I:I,Point_options!$B:$B,$D17,Point_options!$E:$E,$G17)))</f>
        <v>1.3970110753240613E-3</v>
      </c>
      <c r="L17" s="169">
        <f>IF($Y17="mobile",SUMIFS(Mobile_options!J:J,Mobile_options!$B:$B,$D17,Mobile_options!$E:$E,$G17),IF($Y17="nonpoint",SUMIFS(Nonpoint_options!J:J,Nonpoint_options!$B:$B,$D17,Nonpoint_options!$E:$E,$G17),SUMIFS(Point_options!J:J,Point_options!$B:$B,$D17,Point_options!$E:$E,$G17)))</f>
        <v>134.88202913856</v>
      </c>
      <c r="M17" s="166" t="s">
        <v>250</v>
      </c>
      <c r="N17" s="166" t="s">
        <v>250</v>
      </c>
      <c r="O17" s="166" t="s">
        <v>263</v>
      </c>
      <c r="P17" s="166" t="s">
        <v>250</v>
      </c>
      <c r="Q17" s="166" t="s">
        <v>251</v>
      </c>
      <c r="R17" s="166" t="s">
        <v>251</v>
      </c>
      <c r="S17" s="52" t="str">
        <f>IF(ISNA(VLOOKUP($D17,Mobile_state_reductions!$B$4:$X$114,23,FALSE))=TRUE,"",VLOOKUP($D17,Mobile_state_reductions!$B$4:$X$114,23,FALSE))</f>
        <v/>
      </c>
      <c r="T17" s="52" t="str">
        <f t="shared" si="0"/>
        <v>NP - 59VOC</v>
      </c>
      <c r="U17" s="52">
        <f t="shared" si="1"/>
        <v>10</v>
      </c>
      <c r="V17" s="52" t="str">
        <f>IF(ISNA(VLOOKUP($D17,Nonpoint_state_reductions!$B$4:$X$108,23,FALSE))=TRUE,"",VLOOKUP($D17,Nonpoint_state_reductions!$B$4:$X$108,23,FALSE))</f>
        <v>ILINMIMNOHWI</v>
      </c>
      <c r="W17" s="52" t="str">
        <f>IF(ISNA(VLOOKUP($D17,Point_state_reductions!$B$3:$X$117,23,FALSE)),"",VLOOKUP($D17,Point_state_reductions!$B$3:$X$117,23,FALSE))</f>
        <v/>
      </c>
      <c r="Y17" s="185" t="str">
        <f>VLOOKUP(D17,EmissRed_Shortlist!$D$8:$V$111,19,FALSE)</f>
        <v>nonpoint</v>
      </c>
      <c r="Z17" s="201">
        <f t="shared" si="2"/>
        <v>10</v>
      </c>
    </row>
    <row r="18" spans="1:26" ht="14.4" x14ac:dyDescent="0.3">
      <c r="A18" s="92">
        <v>11</v>
      </c>
      <c r="B18" s="92">
        <f>VLOOKUP(D18,EmissRed_Shortlist!$D$8:$W$87,20,FALSE)</f>
        <v>57</v>
      </c>
      <c r="C18" s="153" t="str">
        <f>VLOOKUP(D18,Shortlist_xref!$A$5:$C$77,2,FALSE)</f>
        <v>C-E</v>
      </c>
      <c r="D18" s="3" t="s">
        <v>116</v>
      </c>
      <c r="E18" s="5" t="s">
        <v>115</v>
      </c>
      <c r="F18" s="5" t="s">
        <v>117</v>
      </c>
      <c r="G18" s="3" t="s">
        <v>53</v>
      </c>
      <c r="H18" s="157">
        <f>IF($Y18="mobile",SUMIFS(Mobile_options!F:F,Mobile_options!$B:$B,$D18,Mobile_options!$E:$E,$G18),IF($Y18="nonpoint",SUMIFS(Nonpoint_options!F:F,Nonpoint_options!$B:$B,$D18,Nonpoint_options!$E:$E,$G18),SUMIFS(Point_options!F:F,Point_options!$B:$B,$D18,Point_options!$E:$E,$G18)))</f>
        <v>0.1</v>
      </c>
      <c r="I18" s="154">
        <f>IF($Y18="mobile",SUMIFS(Mobile_options!G:G,Mobile_options!$B:$B,$D18,Mobile_options!$E:$E,$G18),IF($Y18="nonpoint",SUMIFS(Nonpoint_options!G:G,Nonpoint_options!$B:$B,$D18,Nonpoint_options!$E:$E,$G18),SUMIFS(Point_options!G:G,Point_options!$B:$B,$D18,Point_options!$E:$E,$G18)))</f>
        <v>0.64</v>
      </c>
      <c r="J18" s="158">
        <f>IF(Y18="mobile",VLOOKUP($D18&amp;$G18,Mobile_options!$X$1:$Y$150,2,FALSE),IF(Y18="nonpoint",VLOOKUP($D18&amp;$G18,Nonpoint_options!$W$1:$X$150,2,FALSE),VLOOKUP($D18&amp;$G18,Point_options!$U$1:$V$150,2,FALSE)))</f>
        <v>263</v>
      </c>
      <c r="K18" s="159">
        <f>IF($Y18="mobile",SUMIFS(Mobile_options!I:I,Mobile_options!$B:$B,$D18,Mobile_options!$E:$E,$G18),IF($Y18="nonpoint",SUMIFS(Nonpoint_options!I:I,Nonpoint_options!$B:$B,$D18,Nonpoint_options!$E:$E,$G18),SUMIFS(Point_options!I:I,Point_options!$B:$B,$D18,Point_options!$E:$E,$G18)))</f>
        <v>1.3970110753240613E-3</v>
      </c>
      <c r="L18" s="168">
        <f>IF($Y18="mobile",SUMIFS(Mobile_options!J:J,Mobile_options!$B:$B,$D18,Mobile_options!$E:$E,$G18),IF($Y18="nonpoint",SUMIFS(Nonpoint_options!J:J,Nonpoint_options!$B:$B,$D18,Nonpoint_options!$E:$E,$G18),SUMIFS(Point_options!J:J,Point_options!$B:$B,$D18,Point_options!$E:$E,$G18)))</f>
        <v>134.88202913856</v>
      </c>
      <c r="M18" s="92" t="s">
        <v>250</v>
      </c>
      <c r="N18" s="92" t="s">
        <v>250</v>
      </c>
      <c r="O18" s="92" t="s">
        <v>263</v>
      </c>
      <c r="P18" s="92" t="s">
        <v>250</v>
      </c>
      <c r="Q18" s="92" t="s">
        <v>253</v>
      </c>
      <c r="R18" s="92" t="s">
        <v>253</v>
      </c>
      <c r="S18" s="52" t="str">
        <f>IF(ISNA(VLOOKUP($D18,Mobile_state_reductions!$B$4:$X$114,23,FALSE))=TRUE,"",VLOOKUP($D18,Mobile_state_reductions!$B$4:$X$114,23,FALSE))</f>
        <v/>
      </c>
      <c r="T18" s="52" t="str">
        <f t="shared" si="0"/>
        <v>NP - 61VOC</v>
      </c>
      <c r="U18" s="52">
        <f t="shared" si="1"/>
        <v>11</v>
      </c>
      <c r="V18" s="52" t="str">
        <f>IF(ISNA(VLOOKUP($D18,Nonpoint_state_reductions!$B$4:$X$108,23,FALSE))=TRUE,"",VLOOKUP($D18,Nonpoint_state_reductions!$B$4:$X$108,23,FALSE))</f>
        <v>ILINMIMNOHWI</v>
      </c>
      <c r="W18" s="52" t="str">
        <f>IF(ISNA(VLOOKUP($D18,Point_state_reductions!$B$3:$X$117,23,FALSE)),"",VLOOKUP($D18,Point_state_reductions!$B$3:$X$117,23,FALSE))</f>
        <v/>
      </c>
      <c r="Y18" s="185" t="str">
        <f>VLOOKUP(D18,EmissRed_Shortlist!$D$8:$V$111,19,FALSE)</f>
        <v>nonpoint</v>
      </c>
      <c r="Z18" s="201">
        <f t="shared" si="2"/>
        <v>11</v>
      </c>
    </row>
    <row r="19" spans="1:26" ht="14.4" x14ac:dyDescent="0.3">
      <c r="A19" s="92">
        <v>12</v>
      </c>
      <c r="B19" s="92">
        <f>VLOOKUP(D19,EmissRed_Shortlist!$D$8:$W$87,20,FALSE)</f>
        <v>78</v>
      </c>
      <c r="C19" s="153" t="str">
        <f>VLOOKUP(D19,Shortlist_xref!$A$5:$C$77,2,FALSE)</f>
        <v>C-E</v>
      </c>
      <c r="D19" s="3" t="s">
        <v>60</v>
      </c>
      <c r="E19" s="5" t="s">
        <v>58</v>
      </c>
      <c r="F19" s="5" t="s">
        <v>61</v>
      </c>
      <c r="G19" s="3" t="s">
        <v>53</v>
      </c>
      <c r="H19" s="157">
        <f>IF($Y19="mobile",SUMIFS(Mobile_options!F:F,Mobile_options!$B:$B,$D19,Mobile_options!$E:$E,$G19),IF($Y19="nonpoint",SUMIFS(Nonpoint_options!F:F,Nonpoint_options!$B:$B,$D19,Nonpoint_options!$E:$E,$G19),SUMIFS(Point_options!F:F,Point_options!$B:$B,$D19,Point_options!$E:$E,$G19)))</f>
        <v>0.1</v>
      </c>
      <c r="I19" s="154">
        <f>IF($Y19="mobile",SUMIFS(Mobile_options!G:G,Mobile_options!$B:$B,$D19,Mobile_options!$E:$E,$G19),IF($Y19="nonpoint",SUMIFS(Nonpoint_options!G:G,Nonpoint_options!$B:$B,$D19,Nonpoint_options!$E:$E,$G19),SUMIFS(Point_options!G:G,Point_options!$B:$B,$D19,Point_options!$E:$E,$G19)))</f>
        <v>0.84499999999999997</v>
      </c>
      <c r="J19" s="158">
        <f>IF(Y19="mobile",VLOOKUP($D19&amp;$G19,Mobile_options!$X$1:$Y$150,2,FALSE),IF(Y19="nonpoint",VLOOKUP($D19&amp;$G19,Nonpoint_options!$W$1:$X$150,2,FALSE),VLOOKUP($D19&amp;$G19,Point_options!$U$1:$V$150,2,FALSE)))</f>
        <v>300</v>
      </c>
      <c r="K19" s="159">
        <f>IF($Y19="mobile",SUMIFS(Mobile_options!I:I,Mobile_options!$B:$B,$D19,Mobile_options!$E:$E,$G19),IF($Y19="nonpoint",SUMIFS(Nonpoint_options!I:I,Nonpoint_options!$B:$B,$D19,Nonpoint_options!$E:$E,$G19),SUMIFS(Point_options!I:I,Point_options!$B:$B,$D19,Point_options!$E:$E,$G19)))</f>
        <v>8.7159510035642705E-5</v>
      </c>
      <c r="L19" s="168">
        <f>IF($Y19="mobile",SUMIFS(Mobile_options!J:J,Mobile_options!$B:$B,$D19,Mobile_options!$E:$E,$G19),IF($Y19="nonpoint",SUMIFS(Nonpoint_options!J:J,Nonpoint_options!$B:$B,$D19,Nonpoint_options!$E:$E,$G19),SUMIFS(Point_options!J:J,Point_options!$B:$B,$D19,Point_options!$E:$E,$G19)))</f>
        <v>11.110810915004089</v>
      </c>
      <c r="M19" s="92" t="s">
        <v>250</v>
      </c>
      <c r="N19" s="92" t="s">
        <v>250</v>
      </c>
      <c r="O19" s="92" t="s">
        <v>263</v>
      </c>
      <c r="P19" s="92" t="s">
        <v>250</v>
      </c>
      <c r="Q19" s="92" t="s">
        <v>251</v>
      </c>
      <c r="R19" s="92" t="s">
        <v>253</v>
      </c>
      <c r="S19" s="52" t="str">
        <f>IF(ISNA(VLOOKUP($D19,Mobile_state_reductions!$B$4:$X$114,23,FALSE))=TRUE,"",VLOOKUP($D19,Mobile_state_reductions!$B$4:$X$114,23,FALSE))</f>
        <v/>
      </c>
      <c r="T19" s="52" t="str">
        <f t="shared" si="0"/>
        <v>P - 101VOC</v>
      </c>
      <c r="U19" s="52">
        <f t="shared" si="1"/>
        <v>12</v>
      </c>
      <c r="V19" s="52" t="str">
        <f>IF(ISNA(VLOOKUP($D19,Nonpoint_state_reductions!$B$4:$X$108,23,FALSE))=TRUE,"",VLOOKUP($D19,Nonpoint_state_reductions!$B$4:$X$108,23,FALSE))</f>
        <v/>
      </c>
      <c r="W19" s="52" t="str">
        <f>IF(ISNA(VLOOKUP($D19,Point_state_reductions!$B$3:$X$117,23,FALSE)),"",VLOOKUP($D19,Point_state_reductions!$B$3:$X$117,23,FALSE))</f>
        <v>ILINMIMNOHWI</v>
      </c>
      <c r="Y19" s="185" t="str">
        <f>VLOOKUP(D19,EmissRed_Shortlist!$D$8:$V$111,19,FALSE)</f>
        <v>point</v>
      </c>
      <c r="Z19" s="201">
        <f t="shared" si="2"/>
        <v>12</v>
      </c>
    </row>
    <row r="20" spans="1:26" ht="14.4" x14ac:dyDescent="0.3">
      <c r="A20" s="92">
        <v>13</v>
      </c>
      <c r="B20" s="92">
        <f>VLOOKUP(D20,EmissRed_Shortlist!$D$8:$W$87,20,FALSE)</f>
        <v>76</v>
      </c>
      <c r="C20" s="153" t="str">
        <f>VLOOKUP(D20,Shortlist_xref!$A$5:$C$77,2,FALSE)</f>
        <v>C-E</v>
      </c>
      <c r="D20" s="3" t="s">
        <v>55</v>
      </c>
      <c r="E20" s="5" t="s">
        <v>54</v>
      </c>
      <c r="F20" s="5" t="s">
        <v>56</v>
      </c>
      <c r="G20" s="3" t="s">
        <v>53</v>
      </c>
      <c r="H20" s="157">
        <f>IF($Y20="mobile",SUMIFS(Mobile_options!F:F,Mobile_options!$B:$B,$D20,Mobile_options!$E:$E,$G20),IF($Y20="nonpoint",SUMIFS(Nonpoint_options!F:F,Nonpoint_options!$B:$B,$D20,Nonpoint_options!$E:$E,$G20),SUMIFS(Point_options!F:F,Point_options!$B:$B,$D20,Point_options!$E:$E,$G20)))</f>
        <v>0.1</v>
      </c>
      <c r="I20" s="154">
        <f>IF($Y20="mobile",SUMIFS(Mobile_options!G:G,Mobile_options!$B:$B,$D20,Mobile_options!$E:$E,$G20),IF($Y20="nonpoint",SUMIFS(Nonpoint_options!G:G,Nonpoint_options!$B:$B,$D20,Nonpoint_options!$E:$E,$G20),SUMIFS(Point_options!G:G,Point_options!$B:$B,$D20,Point_options!$E:$E,$G20)))</f>
        <v>0.8</v>
      </c>
      <c r="J20" s="158">
        <f>IF(Y20="mobile",VLOOKUP($D20&amp;$G20,Mobile_options!$X$1:$Y$150,2,FALSE),IF(Y20="nonpoint",VLOOKUP($D20&amp;$G20,Nonpoint_options!$W$1:$X$150,2,FALSE),VLOOKUP($D20&amp;$G20,Point_options!$U$1:$V$150,2,FALSE)))</f>
        <v>340</v>
      </c>
      <c r="K20" s="159">
        <f>IF($Y20="mobile",SUMIFS(Mobile_options!I:I,Mobile_options!$B:$B,$D20,Mobile_options!$E:$E,$G20),IF($Y20="nonpoint",SUMIFS(Nonpoint_options!I:I,Nonpoint_options!$B:$B,$D20,Nonpoint_options!$E:$E,$G20),SUMIFS(Point_options!I:I,Point_options!$B:$B,$D20,Point_options!$E:$E,$G20)))</f>
        <v>8.4170201637929402E-6</v>
      </c>
      <c r="L20" s="168">
        <f>IF($Y20="mobile",SUMIFS(Mobile_options!J:J,Mobile_options!$B:$B,$D20,Mobile_options!$E:$E,$G20),IF($Y20="nonpoint",SUMIFS(Nonpoint_options!J:J,Nonpoint_options!$B:$B,$D20,Nonpoint_options!$E:$E,$G20),SUMIFS(Point_options!J:J,Point_options!$B:$B,$D20,Point_options!$E:$E,$G20)))</f>
        <v>1.0158337137101907</v>
      </c>
      <c r="M20" s="92" t="s">
        <v>250</v>
      </c>
      <c r="N20" s="92" t="s">
        <v>250</v>
      </c>
      <c r="O20" s="92" t="s">
        <v>263</v>
      </c>
      <c r="P20" s="92" t="s">
        <v>250</v>
      </c>
      <c r="Q20" s="92" t="s">
        <v>251</v>
      </c>
      <c r="R20" s="92" t="s">
        <v>253</v>
      </c>
      <c r="S20" s="52" t="str">
        <f>IF(ISNA(VLOOKUP($D20,Mobile_state_reductions!$B$4:$X$114,23,FALSE))=TRUE,"",VLOOKUP($D20,Mobile_state_reductions!$B$4:$X$114,23,FALSE))</f>
        <v/>
      </c>
      <c r="T20" s="52" t="str">
        <f t="shared" si="0"/>
        <v>P - 99VOC</v>
      </c>
      <c r="U20" s="52">
        <f t="shared" si="1"/>
        <v>13</v>
      </c>
      <c r="V20" s="52" t="str">
        <f>IF(ISNA(VLOOKUP($D20,Nonpoint_state_reductions!$B$4:$X$108,23,FALSE))=TRUE,"",VLOOKUP($D20,Nonpoint_state_reductions!$B$4:$X$108,23,FALSE))</f>
        <v/>
      </c>
      <c r="W20" s="52" t="str">
        <f>IF(ISNA(VLOOKUP($D20,Point_state_reductions!$B$3:$X$117,23,FALSE)),"",VLOOKUP($D20,Point_state_reductions!$B$3:$X$117,23,FALSE))</f>
        <v>ILINMIMNOHWI</v>
      </c>
      <c r="Y20" s="185" t="str">
        <f>VLOOKUP(D20,EmissRed_Shortlist!$D$8:$V$111,19,FALSE)</f>
        <v>point</v>
      </c>
      <c r="Z20" s="201">
        <f t="shared" si="2"/>
        <v>13</v>
      </c>
    </row>
    <row r="21" spans="1:26" ht="14.4" x14ac:dyDescent="0.3">
      <c r="A21" s="92">
        <v>14</v>
      </c>
      <c r="B21" s="92">
        <f>VLOOKUP(D21,EmissRed_Shortlist!$D$8:$W$87,20,FALSE)</f>
        <v>63</v>
      </c>
      <c r="C21" s="153" t="str">
        <f>VLOOKUP(D21,Shortlist_xref!$A$5:$C$77,2,FALSE)</f>
        <v>C-E</v>
      </c>
      <c r="D21" s="3" t="s">
        <v>27</v>
      </c>
      <c r="E21" s="5" t="s">
        <v>28</v>
      </c>
      <c r="F21" s="5" t="s">
        <v>29</v>
      </c>
      <c r="G21" s="3" t="s">
        <v>12</v>
      </c>
      <c r="H21" s="157">
        <f>IF($Y21="mobile",SUMIFS(Mobile_options!F:F,Mobile_options!$B:$B,$D21,Mobile_options!$E:$E,$G21),IF($Y21="nonpoint",SUMIFS(Nonpoint_options!F:F,Nonpoint_options!$B:$B,$D21,Nonpoint_options!$E:$E,$G21),SUMIFS(Point_options!F:F,Point_options!$B:$B,$D21,Point_options!$E:$E,$G21)))</f>
        <v>0.1</v>
      </c>
      <c r="I21" s="154">
        <f>IF($Y21="mobile",SUMIFS(Mobile_options!G:G,Mobile_options!$B:$B,$D21,Mobile_options!$E:$E,$G21),IF($Y21="nonpoint",SUMIFS(Nonpoint_options!G:G,Nonpoint_options!$B:$B,$D21,Nonpoint_options!$E:$E,$G21),SUMIFS(Point_options!G:G,Point_options!$B:$B,$D21,Point_options!$E:$E,$G21)))</f>
        <v>0.23</v>
      </c>
      <c r="J21" s="158">
        <f>IF(Y21="mobile",VLOOKUP($D21&amp;$G21,Mobile_options!$X$1:$Y$150,2,FALSE),IF(Y21="nonpoint",VLOOKUP($D21&amp;$G21,Nonpoint_options!$W$1:$X$150,2,FALSE),VLOOKUP($D21&amp;$G21,Point_options!$U$1:$V$150,2,FALSE)))</f>
        <v>407</v>
      </c>
      <c r="K21" s="159">
        <f>IF($Y21="mobile",SUMIFS(Mobile_options!I:I,Mobile_options!$B:$B,$D21,Mobile_options!$E:$E,$G21),IF($Y21="nonpoint",SUMIFS(Nonpoint_options!I:I,Nonpoint_options!$B:$B,$D21,Nonpoint_options!$E:$E,$G21),SUMIFS(Point_options!I:I,Point_options!$B:$B,$D21,Point_options!$E:$E,$G21)))</f>
        <v>2.2008357048433348E-4</v>
      </c>
      <c r="L21" s="168">
        <f>IF($Y21="mobile",SUMIFS(Mobile_options!J:J,Mobile_options!$B:$B,$D21,Mobile_options!$E:$E,$G21),IF($Y21="nonpoint",SUMIFS(Nonpoint_options!J:J,Nonpoint_options!$B:$B,$D21,Nonpoint_options!$E:$E,$G21),SUMIFS(Point_options!J:J,Point_options!$B:$B,$D21,Point_options!$E:$E,$G21)))</f>
        <v>109.06547146460001</v>
      </c>
      <c r="M21" s="92" t="s">
        <v>250</v>
      </c>
      <c r="N21" s="92" t="s">
        <v>250</v>
      </c>
      <c r="O21" s="92" t="s">
        <v>263</v>
      </c>
      <c r="P21" s="92" t="s">
        <v>250</v>
      </c>
      <c r="Q21" s="92" t="s">
        <v>251</v>
      </c>
      <c r="R21" s="92" t="s">
        <v>253</v>
      </c>
      <c r="S21" s="52" t="str">
        <f>IF(ISNA(VLOOKUP($D21,Mobile_state_reductions!$B$4:$X$114,23,FALSE))=TRUE,"",VLOOKUP($D21,Mobile_state_reductions!$B$4:$X$114,23,FALSE))</f>
        <v/>
      </c>
      <c r="T21" s="52" t="str">
        <f t="shared" si="0"/>
        <v>P - 18NOx</v>
      </c>
      <c r="U21" s="52">
        <f t="shared" si="1"/>
        <v>14</v>
      </c>
      <c r="V21" s="52" t="str">
        <f>IF(ISNA(VLOOKUP($D21,Nonpoint_state_reductions!$B$4:$X$108,23,FALSE))=TRUE,"",VLOOKUP($D21,Nonpoint_state_reductions!$B$4:$X$108,23,FALSE))</f>
        <v/>
      </c>
      <c r="W21" s="52" t="str">
        <f>IF(ISNA(VLOOKUP($D21,Point_state_reductions!$B$3:$X$117,23,FALSE)),"",VLOOKUP($D21,Point_state_reductions!$B$3:$X$117,23,FALSE))</f>
        <v>ILINMIMNOHWI</v>
      </c>
      <c r="Y21" s="185" t="str">
        <f>VLOOKUP(D21,EmissRed_Shortlist!$D$8:$V$111,19,FALSE)</f>
        <v>point</v>
      </c>
      <c r="Z21" s="201">
        <f t="shared" si="2"/>
        <v>14</v>
      </c>
    </row>
    <row r="22" spans="1:26" ht="14.4" x14ac:dyDescent="0.3">
      <c r="A22" s="92">
        <v>15</v>
      </c>
      <c r="B22" s="92">
        <f>VLOOKUP(D22,EmissRed_Shortlist!$D$8:$W$87,20,FALSE)</f>
        <v>73</v>
      </c>
      <c r="C22" s="153" t="str">
        <f>VLOOKUP(D22,Shortlist_xref!$A$5:$C$77,2,FALSE)</f>
        <v>C-E</v>
      </c>
      <c r="D22" s="3" t="s">
        <v>57</v>
      </c>
      <c r="E22" s="5" t="s">
        <v>58</v>
      </c>
      <c r="F22" s="5" t="s">
        <v>59</v>
      </c>
      <c r="G22" s="3" t="s">
        <v>53</v>
      </c>
      <c r="H22" s="157">
        <f>IF($Y22="mobile",SUMIFS(Mobile_options!F:F,Mobile_options!$B:$B,$D22,Mobile_options!$E:$E,$G22),IF($Y22="nonpoint",SUMIFS(Nonpoint_options!F:F,Nonpoint_options!$B:$B,$D22,Nonpoint_options!$E:$E,$G22),SUMIFS(Point_options!F:F,Point_options!$B:$B,$D22,Point_options!$E:$E,$G22)))</f>
        <v>0.1</v>
      </c>
      <c r="I22" s="154">
        <f>IF($Y22="mobile",SUMIFS(Mobile_options!G:G,Mobile_options!$B:$B,$D22,Mobile_options!$E:$E,$G22),IF($Y22="nonpoint",SUMIFS(Nonpoint_options!G:G,Nonpoint_options!$B:$B,$D22,Nonpoint_options!$E:$E,$G22),SUMIFS(Point_options!G:G,Point_options!$B:$B,$D22,Point_options!$E:$E,$G22)))</f>
        <v>0.7</v>
      </c>
      <c r="J22" s="158">
        <f>IF(Y22="mobile",VLOOKUP($D22&amp;$G22,Mobile_options!$X$1:$Y$150,2,FALSE),IF(Y22="nonpoint",VLOOKUP($D22&amp;$G22,Nonpoint_options!$W$1:$X$150,2,FALSE),VLOOKUP($D22&amp;$G22,Point_options!$U$1:$V$150,2,FALSE)))</f>
        <v>457</v>
      </c>
      <c r="K22" s="159">
        <f>IF($Y22="mobile",SUMIFS(Mobile_options!I:I,Mobile_options!$B:$B,$D22,Mobile_options!$E:$E,$G22),IF($Y22="nonpoint",SUMIFS(Nonpoint_options!I:I,Nonpoint_options!$B:$B,$D22,Nonpoint_options!$E:$E,$G22),SUMIFS(Point_options!I:I,Point_options!$B:$B,$D22,Point_options!$E:$E,$G22)))</f>
        <v>8.7159510035642705E-5</v>
      </c>
      <c r="L22" s="168">
        <f>IF($Y22="mobile",SUMIFS(Mobile_options!J:J,Mobile_options!$B:$B,$D22,Mobile_options!$E:$E,$G22),IF($Y22="nonpoint",SUMIFS(Nonpoint_options!J:J,Nonpoint_options!$B:$B,$D22,Nonpoint_options!$E:$E,$G22),SUMIFS(Point_options!J:J,Point_options!$B:$B,$D22,Point_options!$E:$E,$G22)))</f>
        <v>9.2042220597667015</v>
      </c>
      <c r="M22" s="92" t="s">
        <v>250</v>
      </c>
      <c r="N22" s="92" t="s">
        <v>250</v>
      </c>
      <c r="O22" s="92" t="s">
        <v>263</v>
      </c>
      <c r="P22" s="92" t="s">
        <v>250</v>
      </c>
      <c r="Q22" s="92" t="s">
        <v>251</v>
      </c>
      <c r="R22" s="92" t="s">
        <v>253</v>
      </c>
      <c r="S22" s="52" t="str">
        <f>IF(ISNA(VLOOKUP($D22,Mobile_state_reductions!$B$4:$X$114,23,FALSE))=TRUE,"",VLOOKUP($D22,Mobile_state_reductions!$B$4:$X$114,23,FALSE))</f>
        <v/>
      </c>
      <c r="T22" s="52" t="str">
        <f t="shared" si="0"/>
        <v>P - 100VOC</v>
      </c>
      <c r="U22" s="52">
        <f t="shared" si="1"/>
        <v>15</v>
      </c>
      <c r="V22" s="52" t="str">
        <f>IF(ISNA(VLOOKUP($D22,Nonpoint_state_reductions!$B$4:$X$108,23,FALSE))=TRUE,"",VLOOKUP($D22,Nonpoint_state_reductions!$B$4:$X$108,23,FALSE))</f>
        <v/>
      </c>
      <c r="W22" s="52" t="str">
        <f>IF(ISNA(VLOOKUP($D22,Point_state_reductions!$B$3:$X$117,23,FALSE)),"",VLOOKUP($D22,Point_state_reductions!$B$3:$X$117,23,FALSE))</f>
        <v>ILINMIMNOHWI</v>
      </c>
      <c r="Y22" s="185" t="str">
        <f>VLOOKUP(D22,EmissRed_Shortlist!$D$8:$V$111,19,FALSE)</f>
        <v>point</v>
      </c>
      <c r="Z22" s="201">
        <f t="shared" si="2"/>
        <v>15</v>
      </c>
    </row>
    <row r="23" spans="1:26" ht="14.4" x14ac:dyDescent="0.3">
      <c r="A23" s="92">
        <v>16</v>
      </c>
      <c r="B23" s="92">
        <f>VLOOKUP(D23,EmissRed_Shortlist!$D$8:$W$87,20,FALSE)</f>
        <v>77</v>
      </c>
      <c r="C23" s="153" t="str">
        <f>VLOOKUP(D23,Shortlist_xref!$A$5:$C$77,2,FALSE)</f>
        <v>C-E</v>
      </c>
      <c r="D23" s="3" t="s">
        <v>39</v>
      </c>
      <c r="E23" s="5" t="s">
        <v>38</v>
      </c>
      <c r="F23" s="5" t="s">
        <v>18</v>
      </c>
      <c r="G23" s="3" t="s">
        <v>12</v>
      </c>
      <c r="H23" s="157">
        <f>IF($Y23="mobile",SUMIFS(Mobile_options!F:F,Mobile_options!$B:$B,$D23,Mobile_options!$E:$E,$G23),IF($Y23="nonpoint",SUMIFS(Nonpoint_options!F:F,Nonpoint_options!$B:$B,$D23,Nonpoint_options!$E:$E,$G23),SUMIFS(Point_options!F:F,Point_options!$B:$B,$D23,Point_options!$E:$E,$G23)))</f>
        <v>0.1</v>
      </c>
      <c r="I23" s="154">
        <f>IF($Y23="mobile",SUMIFS(Mobile_options!G:G,Mobile_options!$B:$B,$D23,Mobile_options!$E:$E,$G23),IF($Y23="nonpoint",SUMIFS(Nonpoint_options!G:G,Nonpoint_options!$B:$B,$D23,Nonpoint_options!$E:$E,$G23),SUMIFS(Point_options!G:G,Point_options!$B:$B,$D23,Point_options!$E:$E,$G23)))</f>
        <v>0.66</v>
      </c>
      <c r="J23" s="158">
        <f>IF(Y23="mobile",VLOOKUP($D23&amp;$G23,Mobile_options!$X$1:$Y$150,2,FALSE),IF(Y23="nonpoint",VLOOKUP($D23&amp;$G23,Nonpoint_options!$W$1:$X$150,2,FALSE),VLOOKUP($D23&amp;$G23,Point_options!$U$1:$V$150,2,FALSE)))</f>
        <v>481</v>
      </c>
      <c r="K23" s="159">
        <f>IF($Y23="mobile",SUMIFS(Mobile_options!I:I,Mobile_options!$B:$B,$D23,Mobile_options!$E:$E,$G23),IF($Y23="nonpoint",SUMIFS(Nonpoint_options!I:I,Nonpoint_options!$B:$B,$D23,Nonpoint_options!$E:$E,$G23),SUMIFS(Point_options!I:I,Point_options!$B:$B,$D23,Point_options!$E:$E,$G23)))</f>
        <v>0</v>
      </c>
      <c r="L23" s="168">
        <f>IF($Y23="mobile",SUMIFS(Mobile_options!J:J,Mobile_options!$B:$B,$D23,Mobile_options!$E:$E,$G23),IF($Y23="nonpoint",SUMIFS(Nonpoint_options!J:J,Nonpoint_options!$B:$B,$D23,Nonpoint_options!$E:$E,$G23),SUMIFS(Point_options!J:J,Point_options!$B:$B,$D23,Point_options!$E:$E,$G23)))</f>
        <v>0</v>
      </c>
      <c r="M23" s="92" t="s">
        <v>250</v>
      </c>
      <c r="N23" s="92" t="s">
        <v>250</v>
      </c>
      <c r="O23" s="92" t="s">
        <v>250</v>
      </c>
      <c r="P23" s="92" t="s">
        <v>250</v>
      </c>
      <c r="Q23" s="92" t="s">
        <v>251</v>
      </c>
      <c r="R23" s="92" t="s">
        <v>253</v>
      </c>
      <c r="S23" s="52" t="str">
        <f>IF(ISNA(VLOOKUP($D23,Mobile_state_reductions!$B$4:$X$114,23,FALSE))=TRUE,"",VLOOKUP($D23,Mobile_state_reductions!$B$4:$X$114,23,FALSE))</f>
        <v/>
      </c>
      <c r="T23" s="52" t="str">
        <f t="shared" si="0"/>
        <v>P - 45NOx</v>
      </c>
      <c r="U23" s="52">
        <f t="shared" si="1"/>
        <v>16</v>
      </c>
      <c r="V23" s="52" t="str">
        <f>IF(ISNA(VLOOKUP($D23,Nonpoint_state_reductions!$B$4:$X$108,23,FALSE))=TRUE,"",VLOOKUP($D23,Nonpoint_state_reductions!$B$4:$X$108,23,FALSE))</f>
        <v/>
      </c>
      <c r="W23" s="52" t="str">
        <f>IF(ISNA(VLOOKUP($D23,Point_state_reductions!$B$3:$X$117,23,FALSE)),"",VLOOKUP($D23,Point_state_reductions!$B$3:$X$117,23,FALSE))</f>
        <v/>
      </c>
      <c r="Y23" s="185" t="str">
        <f>VLOOKUP(D23,EmissRed_Shortlist!$D$8:$V$111,19,FALSE)</f>
        <v>point</v>
      </c>
      <c r="Z23" s="201">
        <f t="shared" si="2"/>
        <v>16</v>
      </c>
    </row>
    <row r="24" spans="1:26" ht="24.2" x14ac:dyDescent="0.3">
      <c r="A24" s="92">
        <v>17</v>
      </c>
      <c r="B24" s="92">
        <f>VLOOKUP(D24,EmissRed_Shortlist!$D$8:$W$87,20,FALSE)</f>
        <v>49</v>
      </c>
      <c r="C24" s="153" t="str">
        <f>VLOOKUP(D24,Shortlist_xref!$A$5:$C$77,2,FALSE)</f>
        <v>C-E</v>
      </c>
      <c r="D24" s="3" t="s">
        <v>42</v>
      </c>
      <c r="E24" s="5" t="s">
        <v>43</v>
      </c>
      <c r="F24" s="5" t="s">
        <v>44</v>
      </c>
      <c r="G24" s="3" t="s">
        <v>12</v>
      </c>
      <c r="H24" s="157">
        <f>IF($Y24="mobile",SUMIFS(Mobile_options!F:F,Mobile_options!$B:$B,$D24,Mobile_options!$E:$E,$G24),IF($Y24="nonpoint",SUMIFS(Nonpoint_options!F:F,Nonpoint_options!$B:$B,$D24,Nonpoint_options!$E:$E,$G24),SUMIFS(Point_options!F:F,Point_options!$B:$B,$D24,Point_options!$E:$E,$G24)))</f>
        <v>0.1</v>
      </c>
      <c r="I24" s="154">
        <f>IF($Y24="mobile",SUMIFS(Mobile_options!G:G,Mobile_options!$B:$B,$D24,Mobile_options!$E:$E,$G24),IF($Y24="nonpoint",SUMIFS(Nonpoint_options!G:G,Nonpoint_options!$B:$B,$D24,Nonpoint_options!$E:$E,$G24),SUMIFS(Point_options!G:G,Point_options!$B:$B,$D24,Point_options!$E:$E,$G24)))</f>
        <v>0.9</v>
      </c>
      <c r="J24" s="158">
        <f>IF(Y24="mobile",VLOOKUP($D24&amp;$G24,Mobile_options!$X$1:$Y$150,2,FALSE),IF(Y24="nonpoint",VLOOKUP($D24&amp;$G24,Nonpoint_options!$W$1:$X$150,2,FALSE),VLOOKUP($D24&amp;$G24,Point_options!$U$1:$V$150,2,FALSE)))</f>
        <v>509</v>
      </c>
      <c r="K24" s="159">
        <f>IF($Y24="mobile",SUMIFS(Mobile_options!I:I,Mobile_options!$B:$B,$D24,Mobile_options!$E:$E,$G24),IF($Y24="nonpoint",SUMIFS(Nonpoint_options!I:I,Nonpoint_options!$B:$B,$D24,Nonpoint_options!$E:$E,$G24),SUMIFS(Point_options!I:I,Point_options!$B:$B,$D24,Point_options!$E:$E,$G24)))</f>
        <v>1.1947100793289238E-4</v>
      </c>
      <c r="L24" s="168">
        <f>IF($Y24="mobile",SUMIFS(Mobile_options!J:J,Mobile_options!$B:$B,$D24,Mobile_options!$E:$E,$G24),IF($Y24="nonpoint",SUMIFS(Nonpoint_options!J:J,Nonpoint_options!$B:$B,$D24,Nonpoint_options!$E:$E,$G24),SUMIFS(Point_options!J:J,Point_options!$B:$B,$D24,Point_options!$E:$E,$G24)))</f>
        <v>245.81251641343334</v>
      </c>
      <c r="M24" s="92" t="s">
        <v>250</v>
      </c>
      <c r="N24" s="92" t="s">
        <v>250</v>
      </c>
      <c r="O24" s="92" t="s">
        <v>250</v>
      </c>
      <c r="P24" s="92" t="s">
        <v>250</v>
      </c>
      <c r="Q24" s="92" t="s">
        <v>251</v>
      </c>
      <c r="R24" s="92" t="s">
        <v>253</v>
      </c>
      <c r="S24" s="52" t="str">
        <f>IF(ISNA(VLOOKUP($D24,Mobile_state_reductions!$B$4:$X$114,23,FALSE))=TRUE,"",VLOOKUP($D24,Mobile_state_reductions!$B$4:$X$114,23,FALSE))</f>
        <v/>
      </c>
      <c r="T24" s="52" t="str">
        <f t="shared" si="0"/>
        <v>P - 54NOx</v>
      </c>
      <c r="U24" s="52">
        <f t="shared" si="1"/>
        <v>17</v>
      </c>
      <c r="V24" s="52" t="str">
        <f>IF(ISNA(VLOOKUP($D24,Nonpoint_state_reductions!$B$4:$X$108,23,FALSE))=TRUE,"",VLOOKUP($D24,Nonpoint_state_reductions!$B$4:$X$108,23,FALSE))</f>
        <v/>
      </c>
      <c r="W24" s="52" t="str">
        <f>IF(ISNA(VLOOKUP($D24,Point_state_reductions!$B$3:$X$117,23,FALSE)),"",VLOOKUP($D24,Point_state_reductions!$B$3:$X$117,23,FALSE))</f>
        <v>ILINMIMNOHWI</v>
      </c>
      <c r="Y24" s="185" t="str">
        <f>VLOOKUP(D24,EmissRed_Shortlist!$D$8:$V$111,19,FALSE)</f>
        <v>point</v>
      </c>
      <c r="Z24" s="201">
        <f t="shared" si="2"/>
        <v>17</v>
      </c>
    </row>
    <row r="25" spans="1:26" ht="24.2" x14ac:dyDescent="0.3">
      <c r="A25" s="92">
        <v>18</v>
      </c>
      <c r="B25" s="92">
        <f>VLOOKUP(D25,EmissRed_Shortlist!$D$8:$W$87,20,FALSE)</f>
        <v>68</v>
      </c>
      <c r="C25" s="153" t="str">
        <f>VLOOKUP(D25,Shortlist_xref!$A$5:$C$77,2,FALSE)</f>
        <v>C-E</v>
      </c>
      <c r="D25" s="3" t="s">
        <v>32</v>
      </c>
      <c r="E25" s="5" t="s">
        <v>33</v>
      </c>
      <c r="F25" s="5" t="s">
        <v>18</v>
      </c>
      <c r="G25" s="3" t="s">
        <v>12</v>
      </c>
      <c r="H25" s="157">
        <f>IF($Y25="mobile",SUMIFS(Mobile_options!F:F,Mobile_options!$B:$B,$D25,Mobile_options!$E:$E,$G25),IF($Y25="nonpoint",SUMIFS(Nonpoint_options!F:F,Nonpoint_options!$B:$B,$D25,Nonpoint_options!$E:$E,$G25),SUMIFS(Point_options!F:F,Point_options!$B:$B,$D25,Point_options!$E:$E,$G25)))</f>
        <v>0.1</v>
      </c>
      <c r="I25" s="154">
        <f>IF($Y25="mobile",SUMIFS(Mobile_options!G:G,Mobile_options!$B:$B,$D25,Mobile_options!$E:$E,$G25),IF($Y25="nonpoint",SUMIFS(Nonpoint_options!G:G,Nonpoint_options!$B:$B,$D25,Nonpoint_options!$E:$E,$G25),SUMIFS(Point_options!G:G,Point_options!$B:$B,$D25,Point_options!$E:$E,$G25)))</f>
        <v>0.25</v>
      </c>
      <c r="J25" s="158">
        <f>IF(Y25="mobile",VLOOKUP($D25&amp;$G25,Mobile_options!$X$1:$Y$150,2,FALSE),IF(Y25="nonpoint",VLOOKUP($D25&amp;$G25,Nonpoint_options!$W$1:$X$150,2,FALSE),VLOOKUP($D25&amp;$G25,Point_options!$U$1:$V$150,2,FALSE)))</f>
        <v>577</v>
      </c>
      <c r="K25" s="159">
        <f>IF($Y25="mobile",SUMIFS(Mobile_options!I:I,Mobile_options!$B:$B,$D25,Mobile_options!$E:$E,$G25),IF($Y25="nonpoint",SUMIFS(Nonpoint_options!I:I,Nonpoint_options!$B:$B,$D25,Nonpoint_options!$E:$E,$G25),SUMIFS(Point_options!I:I,Point_options!$B:$B,$D25,Point_options!$E:$E,$G25)))</f>
        <v>1.9843960412402099E-5</v>
      </c>
      <c r="L25" s="168">
        <f>IF($Y25="mobile",SUMIFS(Mobile_options!J:J,Mobile_options!$B:$B,$D25,Mobile_options!$E:$E,$G25),IF($Y25="nonpoint",SUMIFS(Nonpoint_options!J:J,Nonpoint_options!$B:$B,$D25,Nonpoint_options!$E:$E,$G25),SUMIFS(Point_options!J:J,Point_options!$B:$B,$D25,Point_options!$E:$E,$G25)))</f>
        <v>78.74922500000001</v>
      </c>
      <c r="M25" s="92" t="s">
        <v>250</v>
      </c>
      <c r="N25" s="92" t="s">
        <v>250</v>
      </c>
      <c r="O25" s="92" t="s">
        <v>263</v>
      </c>
      <c r="P25" s="92" t="s">
        <v>250</v>
      </c>
      <c r="Q25" s="92" t="s">
        <v>251</v>
      </c>
      <c r="R25" s="92" t="s">
        <v>253</v>
      </c>
      <c r="S25" s="52" t="str">
        <f>IF(ISNA(VLOOKUP($D25,Mobile_state_reductions!$B$4:$X$114,23,FALSE))=TRUE,"",VLOOKUP($D25,Mobile_state_reductions!$B$4:$X$114,23,FALSE))</f>
        <v/>
      </c>
      <c r="T25" s="52" t="str">
        <f t="shared" si="0"/>
        <v>P - 23NOx</v>
      </c>
      <c r="U25" s="52">
        <f t="shared" si="1"/>
        <v>18</v>
      </c>
      <c r="V25" s="52" t="str">
        <f>IF(ISNA(VLOOKUP($D25,Nonpoint_state_reductions!$B$4:$X$108,23,FALSE))=TRUE,"",VLOOKUP($D25,Nonpoint_state_reductions!$B$4:$X$108,23,FALSE))</f>
        <v/>
      </c>
      <c r="W25" s="52" t="str">
        <f>IF(ISNA(VLOOKUP($D25,Point_state_reductions!$B$3:$X$117,23,FALSE)),"",VLOOKUP($D25,Point_state_reductions!$B$3:$X$117,23,FALSE))</f>
        <v>ILINMIMNOHWI</v>
      </c>
      <c r="Y25" s="185" t="str">
        <f>VLOOKUP(D25,EmissRed_Shortlist!$D$8:$V$111,19,FALSE)</f>
        <v>point</v>
      </c>
      <c r="Z25" s="201">
        <f t="shared" si="2"/>
        <v>18</v>
      </c>
    </row>
    <row r="26" spans="1:26" ht="14.4" x14ac:dyDescent="0.3">
      <c r="A26" s="92">
        <v>19</v>
      </c>
      <c r="B26" s="92">
        <f>VLOOKUP(D26,EmissRed_Shortlist!$D$8:$W$87,20,FALSE)</f>
        <v>53</v>
      </c>
      <c r="C26" s="153" t="str">
        <f>VLOOKUP(D26,Shortlist_xref!$A$5:$C$77,2,FALSE)</f>
        <v>C-E</v>
      </c>
      <c r="D26" s="3" t="s">
        <v>30</v>
      </c>
      <c r="E26" s="5" t="s">
        <v>28</v>
      </c>
      <c r="F26" s="5" t="s">
        <v>31</v>
      </c>
      <c r="G26" s="3" t="s">
        <v>12</v>
      </c>
      <c r="H26" s="157">
        <f>IF($Y26="mobile",SUMIFS(Mobile_options!F:F,Mobile_options!$B:$B,$D26,Mobile_options!$E:$E,$G26),IF($Y26="nonpoint",SUMIFS(Nonpoint_options!F:F,Nonpoint_options!$B:$B,$D26,Nonpoint_options!$E:$E,$G26),SUMIFS(Point_options!F:F,Point_options!$B:$B,$D26,Point_options!$E:$E,$G26)))</f>
        <v>0.1</v>
      </c>
      <c r="I26" s="154">
        <f>IF($Y26="mobile",SUMIFS(Mobile_options!G:G,Mobile_options!$B:$B,$D26,Mobile_options!$E:$E,$G26),IF($Y26="nonpoint",SUMIFS(Nonpoint_options!G:G,Nonpoint_options!$B:$B,$D26,Nonpoint_options!$E:$E,$G26),SUMIFS(Point_options!G:G,Point_options!$B:$B,$D26,Point_options!$E:$E,$G26)))</f>
        <v>0.32500000000000001</v>
      </c>
      <c r="J26" s="158">
        <f>IF(Y26="mobile",VLOOKUP($D26&amp;$G26,Mobile_options!$X$1:$Y$150,2,FALSE),IF(Y26="nonpoint",VLOOKUP($D26&amp;$G26,Nonpoint_options!$W$1:$X$150,2,FALSE),VLOOKUP($D26&amp;$G26,Point_options!$U$1:$V$150,2,FALSE)))</f>
        <v>587</v>
      </c>
      <c r="K26" s="159">
        <f>IF($Y26="mobile",SUMIFS(Mobile_options!I:I,Mobile_options!$B:$B,$D26,Mobile_options!$E:$E,$G26),IF($Y26="nonpoint",SUMIFS(Nonpoint_options!I:I,Nonpoint_options!$B:$B,$D26,Nonpoint_options!$E:$E,$G26),SUMIFS(Point_options!I:I,Point_options!$B:$B,$D26,Point_options!$E:$E,$G26)))</f>
        <v>2.2008357048433348E-4</v>
      </c>
      <c r="L26" s="168">
        <f>IF($Y26="mobile",SUMIFS(Mobile_options!J:J,Mobile_options!$B:$B,$D26,Mobile_options!$E:$E,$G26),IF($Y26="nonpoint",SUMIFS(Nonpoint_options!J:J,Nonpoint_options!$B:$B,$D26,Nonpoint_options!$E:$E,$G26),SUMIFS(Point_options!J:J,Point_options!$B:$B,$D26,Point_options!$E:$E,$G26)))</f>
        <v>154.11425315650001</v>
      </c>
      <c r="M26" s="92" t="s">
        <v>250</v>
      </c>
      <c r="N26" s="92" t="s">
        <v>250</v>
      </c>
      <c r="O26" s="92" t="s">
        <v>263</v>
      </c>
      <c r="P26" s="92" t="s">
        <v>250</v>
      </c>
      <c r="Q26" s="92" t="s">
        <v>251</v>
      </c>
      <c r="R26" s="92" t="s">
        <v>253</v>
      </c>
      <c r="S26" s="52" t="str">
        <f>IF(ISNA(VLOOKUP($D26,Mobile_state_reductions!$B$4:$X$114,23,FALSE))=TRUE,"",VLOOKUP($D26,Mobile_state_reductions!$B$4:$X$114,23,FALSE))</f>
        <v/>
      </c>
      <c r="T26" s="52" t="str">
        <f t="shared" si="0"/>
        <v>P - 19NOx</v>
      </c>
      <c r="U26" s="52">
        <f t="shared" si="1"/>
        <v>19</v>
      </c>
      <c r="V26" s="52" t="str">
        <f>IF(ISNA(VLOOKUP($D26,Nonpoint_state_reductions!$B$4:$X$108,23,FALSE))=TRUE,"",VLOOKUP($D26,Nonpoint_state_reductions!$B$4:$X$108,23,FALSE))</f>
        <v/>
      </c>
      <c r="W26" s="52" t="str">
        <f>IF(ISNA(VLOOKUP($D26,Point_state_reductions!$B$3:$X$117,23,FALSE)),"",VLOOKUP($D26,Point_state_reductions!$B$3:$X$117,23,FALSE))</f>
        <v>ILINMIMNOHWI</v>
      </c>
      <c r="Y26" s="185" t="str">
        <f>VLOOKUP(D26,EmissRed_Shortlist!$D$8:$V$111,19,FALSE)</f>
        <v>point</v>
      </c>
      <c r="Z26" s="201">
        <f t="shared" si="2"/>
        <v>19</v>
      </c>
    </row>
    <row r="27" spans="1:26" ht="14.4" x14ac:dyDescent="0.3">
      <c r="A27" s="92">
        <v>20</v>
      </c>
      <c r="B27" s="92">
        <f>VLOOKUP(D27,EmissRed_Shortlist!$D$8:$W$87,20,FALSE)</f>
        <v>22</v>
      </c>
      <c r="C27" s="153" t="str">
        <f>VLOOKUP(D27,Shortlist_xref!$A$5:$C$77,2,FALSE)</f>
        <v>EmissRed</v>
      </c>
      <c r="D27" s="3" t="s">
        <v>46</v>
      </c>
      <c r="E27" s="5" t="s">
        <v>45</v>
      </c>
      <c r="F27" s="5" t="s">
        <v>47</v>
      </c>
      <c r="G27" s="3" t="s">
        <v>12</v>
      </c>
      <c r="H27" s="157">
        <f>IF($Y27="mobile",SUMIFS(Mobile_options!F:F,Mobile_options!$B:$B,$D27,Mobile_options!$E:$E,$G27),IF($Y27="nonpoint",SUMIFS(Nonpoint_options!F:F,Nonpoint_options!$B:$B,$D27,Nonpoint_options!$E:$E,$G27),SUMIFS(Point_options!F:F,Point_options!$B:$B,$D27,Point_options!$E:$E,$G27)))</f>
        <v>0.1</v>
      </c>
      <c r="I27" s="154">
        <f>IF($Y27="mobile",SUMIFS(Mobile_options!G:G,Mobile_options!$B:$B,$D27,Mobile_options!$E:$E,$G27),IF($Y27="nonpoint",SUMIFS(Nonpoint_options!G:G,Nonpoint_options!$B:$B,$D27,Nonpoint_options!$E:$E,$G27),SUMIFS(Point_options!G:G,Point_options!$B:$B,$D27,Point_options!$E:$E,$G27)))</f>
        <v>0.87</v>
      </c>
      <c r="J27" s="158">
        <f>IF(Y27="mobile",VLOOKUP($D27&amp;$G27,Mobile_options!$X$1:$Y$150,2,FALSE),IF(Y27="nonpoint",VLOOKUP($D27&amp;$G27,Nonpoint_options!$W$1:$X$150,2,FALSE),VLOOKUP($D27&amp;$G27,Point_options!$U$1:$V$150,2,FALSE)))</f>
        <v>610</v>
      </c>
      <c r="K27" s="159">
        <f>IF($Y27="mobile",SUMIFS(Mobile_options!I:I,Mobile_options!$B:$B,$D27,Mobile_options!$E:$E,$G27),IF($Y27="nonpoint",SUMIFS(Nonpoint_options!I:I,Nonpoint_options!$B:$B,$D27,Nonpoint_options!$E:$E,$G27),SUMIFS(Point_options!I:I,Point_options!$B:$B,$D27,Point_options!$E:$E,$G27)))</f>
        <v>2.3590383063756028E-3</v>
      </c>
      <c r="L27" s="168">
        <f>IF($Y27="mobile",SUMIFS(Mobile_options!J:J,Mobile_options!$B:$B,$D27,Mobile_options!$E:$E,$G27),IF($Y27="nonpoint",SUMIFS(Nonpoint_options!J:J,Nonpoint_options!$B:$B,$D27,Nonpoint_options!$E:$E,$G27),SUMIFS(Point_options!J:J,Point_options!$B:$B,$D27,Point_options!$E:$E,$G27)))</f>
        <v>3551.0816500004703</v>
      </c>
      <c r="M27" s="92" t="s">
        <v>250</v>
      </c>
      <c r="N27" s="92" t="s">
        <v>250</v>
      </c>
      <c r="O27" s="92" t="s">
        <v>250</v>
      </c>
      <c r="P27" s="92" t="s">
        <v>250</v>
      </c>
      <c r="Q27" s="92" t="s">
        <v>251</v>
      </c>
      <c r="R27" s="92" t="s">
        <v>253</v>
      </c>
      <c r="S27" s="52" t="str">
        <f>IF(ISNA(VLOOKUP($D27,Mobile_state_reductions!$B$4:$X$114,23,FALSE))=TRUE,"",VLOOKUP($D27,Mobile_state_reductions!$B$4:$X$114,23,FALSE))</f>
        <v/>
      </c>
      <c r="T27" s="52" t="str">
        <f t="shared" si="0"/>
        <v>P - 56NOx</v>
      </c>
      <c r="U27" s="52">
        <f t="shared" si="1"/>
        <v>20</v>
      </c>
      <c r="V27" s="52" t="str">
        <f>IF(ISNA(VLOOKUP($D27,Nonpoint_state_reductions!$B$4:$X$108,23,FALSE))=TRUE,"",VLOOKUP($D27,Nonpoint_state_reductions!$B$4:$X$108,23,FALSE))</f>
        <v/>
      </c>
      <c r="W27" s="52" t="str">
        <f>IF(ISNA(VLOOKUP($D27,Point_state_reductions!$B$3:$X$117,23,FALSE)),"",VLOOKUP($D27,Point_state_reductions!$B$3:$X$117,23,FALSE))</f>
        <v>ILINMIMNOHWI</v>
      </c>
      <c r="Y27" s="185" t="str">
        <f>VLOOKUP(D27,EmissRed_Shortlist!$D$8:$V$111,19,FALSE)</f>
        <v>point</v>
      </c>
      <c r="Z27" s="201">
        <f t="shared" si="2"/>
        <v>20</v>
      </c>
    </row>
    <row r="28" spans="1:26" ht="14.4" x14ac:dyDescent="0.3">
      <c r="A28" s="92">
        <v>21</v>
      </c>
      <c r="B28" s="92">
        <f>VLOOKUP(D28,EmissRed_Shortlist!$D$8:$W$87,20,FALSE)</f>
        <v>34</v>
      </c>
      <c r="C28" s="153" t="str">
        <f>VLOOKUP(D28,Shortlist_xref!$A$5:$C$77,2,FALSE)</f>
        <v>EmissRed</v>
      </c>
      <c r="D28" s="3" t="s">
        <v>48</v>
      </c>
      <c r="E28" s="5" t="s">
        <v>45</v>
      </c>
      <c r="F28" s="5" t="s">
        <v>44</v>
      </c>
      <c r="G28" s="3" t="s">
        <v>12</v>
      </c>
      <c r="H28" s="157">
        <f>IF($Y28="mobile",SUMIFS(Mobile_options!F:F,Mobile_options!$B:$B,$D28,Mobile_options!$E:$E,$G28),IF($Y28="nonpoint",SUMIFS(Nonpoint_options!F:F,Nonpoint_options!$B:$B,$D28,Nonpoint_options!$E:$E,$G28),SUMIFS(Point_options!F:F,Point_options!$B:$B,$D28,Point_options!$E:$E,$G28)))</f>
        <v>0.1</v>
      </c>
      <c r="I28" s="154">
        <f>IF($Y28="mobile",SUMIFS(Mobile_options!G:G,Mobile_options!$B:$B,$D28,Mobile_options!$E:$E,$G28),IF($Y28="nonpoint",SUMIFS(Nonpoint_options!G:G,Nonpoint_options!$B:$B,$D28,Nonpoint_options!$E:$E,$G28),SUMIFS(Point_options!G:G,Point_options!$B:$B,$D28,Point_options!$E:$E,$G28)))</f>
        <v>0.9</v>
      </c>
      <c r="J28" s="158">
        <f>IF(Y28="mobile",VLOOKUP($D28&amp;$G28,Mobile_options!$X$1:$Y$150,2,FALSE),IF(Y28="nonpoint",VLOOKUP($D28&amp;$G28,Nonpoint_options!$W$1:$X$150,2,FALSE),VLOOKUP($D28&amp;$G28,Point_options!$U$1:$V$150,2,FALSE)))</f>
        <v>732</v>
      </c>
      <c r="K28" s="159">
        <f>IF($Y28="mobile",SUMIFS(Mobile_options!I:I,Mobile_options!$B:$B,$D28,Mobile_options!$E:$E,$G28),IF($Y28="nonpoint",SUMIFS(Nonpoint_options!I:I,Nonpoint_options!$B:$B,$D28,Nonpoint_options!$E:$E,$G28),SUMIFS(Point_options!I:I,Point_options!$B:$B,$D28,Point_options!$E:$E,$G28)))</f>
        <v>6.7001375711072796E-4</v>
      </c>
      <c r="L28" s="168">
        <f>IF($Y28="mobile",SUMIFS(Mobile_options!J:J,Mobile_options!$B:$B,$D28,Mobile_options!$E:$E,$G28),IF($Y28="nonpoint",SUMIFS(Nonpoint_options!J:J,Nonpoint_options!$B:$B,$D28,Nonpoint_options!$E:$E,$G28),SUMIFS(Point_options!J:J,Point_options!$B:$B,$D28,Point_options!$E:$E,$G28)))</f>
        <v>1770.3215667501513</v>
      </c>
      <c r="M28" s="92" t="s">
        <v>250</v>
      </c>
      <c r="N28" s="92" t="s">
        <v>250</v>
      </c>
      <c r="O28" s="92" t="s">
        <v>250</v>
      </c>
      <c r="P28" s="92" t="s">
        <v>250</v>
      </c>
      <c r="Q28" s="92" t="s">
        <v>251</v>
      </c>
      <c r="R28" s="92" t="s">
        <v>253</v>
      </c>
      <c r="S28" s="52" t="str">
        <f>IF(ISNA(VLOOKUP($D28,Mobile_state_reductions!$B$4:$X$114,23,FALSE))=TRUE,"",VLOOKUP($D28,Mobile_state_reductions!$B$4:$X$114,23,FALSE))</f>
        <v/>
      </c>
      <c r="T28" s="52" t="str">
        <f t="shared" si="0"/>
        <v>P - 57NOx</v>
      </c>
      <c r="U28" s="52">
        <f t="shared" si="1"/>
        <v>21</v>
      </c>
      <c r="V28" s="52" t="str">
        <f>IF(ISNA(VLOOKUP($D28,Nonpoint_state_reductions!$B$4:$X$108,23,FALSE))=TRUE,"",VLOOKUP($D28,Nonpoint_state_reductions!$B$4:$X$108,23,FALSE))</f>
        <v/>
      </c>
      <c r="W28" s="52" t="str">
        <f>IF(ISNA(VLOOKUP($D28,Point_state_reductions!$B$3:$X$117,23,FALSE)),"",VLOOKUP($D28,Point_state_reductions!$B$3:$X$117,23,FALSE))</f>
        <v>ILINMIMNOHWI</v>
      </c>
      <c r="Y28" s="185" t="str">
        <f>VLOOKUP(D28,EmissRed_Shortlist!$D$8:$V$111,19,FALSE)</f>
        <v>point</v>
      </c>
      <c r="Z28" s="201">
        <f t="shared" si="2"/>
        <v>21</v>
      </c>
    </row>
    <row r="29" spans="1:26" ht="14.4" x14ac:dyDescent="0.3">
      <c r="A29" s="92">
        <v>22</v>
      </c>
      <c r="B29" s="92">
        <f>VLOOKUP(D29,EmissRed_Shortlist!$D$8:$W$87,20,FALSE)</f>
        <v>69</v>
      </c>
      <c r="C29" s="153" t="str">
        <f>VLOOKUP(D29,Shortlist_xref!$A$5:$C$77,2,FALSE)</f>
        <v>C-E</v>
      </c>
      <c r="D29" s="3" t="s">
        <v>130</v>
      </c>
      <c r="E29" s="5" t="s">
        <v>131</v>
      </c>
      <c r="F29" s="5" t="s">
        <v>132</v>
      </c>
      <c r="G29" s="3" t="s">
        <v>53</v>
      </c>
      <c r="H29" s="157">
        <f>IF($Y29="mobile",SUMIFS(Mobile_options!F:F,Mobile_options!$B:$B,$D29,Mobile_options!$E:$E,$G29),IF($Y29="nonpoint",SUMIFS(Nonpoint_options!F:F,Nonpoint_options!$B:$B,$D29,Nonpoint_options!$E:$E,$G29),SUMIFS(Point_options!F:F,Point_options!$B:$B,$D29,Point_options!$E:$E,$G29)))</f>
        <v>0.1</v>
      </c>
      <c r="I29" s="154">
        <f>IF($Y29="mobile",SUMIFS(Mobile_options!G:G,Mobile_options!$B:$B,$D29,Mobile_options!$E:$E,$G29),IF($Y29="nonpoint",SUMIFS(Nonpoint_options!G:G,Nonpoint_options!$B:$B,$D29,Nonpoint_options!$E:$E,$G29),SUMIFS(Point_options!G:G,Point_options!$B:$B,$D29,Point_options!$E:$E,$G29)))</f>
        <v>0.7</v>
      </c>
      <c r="J29" s="158">
        <f>IF(Y29="mobile",VLOOKUP($D29&amp;$G29,Mobile_options!$X$1:$Y$150,2,FALSE),IF(Y29="nonpoint",VLOOKUP($D29&amp;$G29,Nonpoint_options!$W$1:$X$150,2,FALSE),VLOOKUP($D29&amp;$G29,Point_options!$U$1:$V$150,2,FALSE)))</f>
        <v>1089</v>
      </c>
      <c r="K29" s="159">
        <f>IF($Y29="mobile",SUMIFS(Mobile_options!I:I,Mobile_options!$B:$B,$D29,Mobile_options!$E:$E,$G29),IF($Y29="nonpoint",SUMIFS(Nonpoint_options!I:I,Nonpoint_options!$B:$B,$D29,Nonpoint_options!$E:$E,$G29),SUMIFS(Point_options!I:I,Point_options!$B:$B,$D29,Point_options!$E:$E,$G29)))</f>
        <v>4.7250412993216214E-4</v>
      </c>
      <c r="L29" s="168">
        <f>IF($Y29="mobile",SUMIFS(Mobile_options!J:J,Mobile_options!$B:$B,$D29,Mobile_options!$E:$E,$G29),IF($Y29="nonpoint",SUMIFS(Nonpoint_options!J:J,Nonpoint_options!$B:$B,$D29,Nonpoint_options!$E:$E,$G29),SUMIFS(Point_options!J:J,Point_options!$B:$B,$D29,Point_options!$E:$E,$G29)))</f>
        <v>49.897400000000005</v>
      </c>
      <c r="M29" s="92" t="s">
        <v>250</v>
      </c>
      <c r="N29" s="92" t="s">
        <v>250</v>
      </c>
      <c r="O29" s="92" t="s">
        <v>250</v>
      </c>
      <c r="P29" s="92" t="s">
        <v>250</v>
      </c>
      <c r="Q29" s="92" t="s">
        <v>251</v>
      </c>
      <c r="R29" s="92" t="s">
        <v>251</v>
      </c>
      <c r="S29" s="52" t="str">
        <f>IF(ISNA(VLOOKUP($D29,Mobile_state_reductions!$B$4:$X$114,23,FALSE))=TRUE,"",VLOOKUP($D29,Mobile_state_reductions!$B$4:$X$114,23,FALSE))</f>
        <v/>
      </c>
      <c r="T29" s="52" t="str">
        <f t="shared" si="0"/>
        <v>NP - 81VOC</v>
      </c>
      <c r="U29" s="52">
        <f t="shared" si="1"/>
        <v>22</v>
      </c>
      <c r="V29" s="52" t="str">
        <f>IF(ISNA(VLOOKUP($D29,Nonpoint_state_reductions!$B$4:$X$108,23,FALSE))=TRUE,"",VLOOKUP($D29,Nonpoint_state_reductions!$B$4:$X$108,23,FALSE))</f>
        <v/>
      </c>
      <c r="W29" s="52" t="str">
        <f>IF(ISNA(VLOOKUP($D29,Point_state_reductions!$B$3:$X$117,23,FALSE)),"",VLOOKUP($D29,Point_state_reductions!$B$3:$X$117,23,FALSE))</f>
        <v/>
      </c>
      <c r="Y29" s="185" t="str">
        <f>VLOOKUP(D29,EmissRed_Shortlist!$D$8:$V$111,19,FALSE)</f>
        <v>nonpoint</v>
      </c>
      <c r="Z29" s="201">
        <f t="shared" si="2"/>
        <v>22</v>
      </c>
    </row>
    <row r="30" spans="1:26" ht="24.2" x14ac:dyDescent="0.3">
      <c r="A30" s="92">
        <v>23</v>
      </c>
      <c r="B30" s="92">
        <f>VLOOKUP(D30,EmissRed_Shortlist!$D$8:$W$87,20,FALSE)</f>
        <v>51</v>
      </c>
      <c r="C30" s="153" t="str">
        <f>VLOOKUP(D30,Shortlist_xref!$A$5:$C$77,2,FALSE)</f>
        <v>C-E</v>
      </c>
      <c r="D30" s="3" t="s">
        <v>118</v>
      </c>
      <c r="E30" s="5" t="s">
        <v>119</v>
      </c>
      <c r="F30" s="5" t="s">
        <v>120</v>
      </c>
      <c r="G30" s="3" t="s">
        <v>53</v>
      </c>
      <c r="H30" s="157">
        <f>IF($Y30="mobile",SUMIFS(Mobile_options!F:F,Mobile_options!$B:$B,$D30,Mobile_options!$E:$E,$G30),IF($Y30="nonpoint",SUMIFS(Nonpoint_options!F:F,Nonpoint_options!$B:$B,$D30,Nonpoint_options!$E:$E,$G30),SUMIFS(Point_options!F:F,Point_options!$B:$B,$D30,Point_options!$E:$E,$G30)))</f>
        <v>0.1</v>
      </c>
      <c r="I30" s="154">
        <f>IF($Y30="mobile",SUMIFS(Mobile_options!G:G,Mobile_options!$B:$B,$D30,Mobile_options!$E:$E,$G30),IF($Y30="nonpoint",SUMIFS(Nonpoint_options!G:G,Nonpoint_options!$B:$B,$D30,Nonpoint_options!$E:$E,$G30),SUMIFS(Point_options!G:G,Point_options!$B:$B,$D30,Point_options!$E:$E,$G30)))</f>
        <v>0.94</v>
      </c>
      <c r="J30" s="158">
        <f>IF(Y30="mobile",VLOOKUP($D30&amp;$G30,Mobile_options!$X$1:$Y$150,2,FALSE),IF(Y30="nonpoint",VLOOKUP($D30&amp;$G30,Nonpoint_options!$W$1:$X$150,2,FALSE),VLOOKUP($D30&amp;$G30,Point_options!$U$1:$V$150,2,FALSE)))</f>
        <v>1134</v>
      </c>
      <c r="K30" s="159">
        <f>IF($Y30="mobile",SUMIFS(Mobile_options!I:I,Mobile_options!$B:$B,$D30,Mobile_options!$E:$E,$G30),IF($Y30="nonpoint",SUMIFS(Nonpoint_options!I:I,Nonpoint_options!$B:$B,$D30,Nonpoint_options!$E:$E,$G30),SUMIFS(Point_options!I:I,Point_options!$B:$B,$D30,Point_options!$E:$E,$G30)))</f>
        <v>1.2188265537659382E-3</v>
      </c>
      <c r="L30" s="168">
        <f>IF($Y30="mobile",SUMIFS(Mobile_options!J:J,Mobile_options!$B:$B,$D30,Mobile_options!$E:$E,$G30),IF($Y30="nonpoint",SUMIFS(Nonpoint_options!J:J,Nonpoint_options!$B:$B,$D30,Nonpoint_options!$E:$E,$G30),SUMIFS(Point_options!J:J,Point_options!$B:$B,$D30,Point_options!$E:$E,$G30)))</f>
        <v>172.83990883410075</v>
      </c>
      <c r="M30" s="92" t="s">
        <v>250</v>
      </c>
      <c r="N30" s="92" t="s">
        <v>250</v>
      </c>
      <c r="O30" s="92" t="s">
        <v>261</v>
      </c>
      <c r="P30" s="92" t="s">
        <v>250</v>
      </c>
      <c r="Q30" s="92" t="s">
        <v>251</v>
      </c>
      <c r="R30" s="92" t="s">
        <v>253</v>
      </c>
      <c r="S30" s="52" t="str">
        <f>IF(ISNA(VLOOKUP($D30,Mobile_state_reductions!$B$4:$X$114,23,FALSE))=TRUE,"",VLOOKUP($D30,Mobile_state_reductions!$B$4:$X$114,23,FALSE))</f>
        <v/>
      </c>
      <c r="T30" s="52" t="str">
        <f t="shared" si="0"/>
        <v>NP - 62VOC</v>
      </c>
      <c r="U30" s="52">
        <f t="shared" si="1"/>
        <v>23</v>
      </c>
      <c r="V30" s="52" t="str">
        <f>IF(ISNA(VLOOKUP($D30,Nonpoint_state_reductions!$B$4:$X$108,23,FALSE))=TRUE,"",VLOOKUP($D30,Nonpoint_state_reductions!$B$4:$X$108,23,FALSE))</f>
        <v>ILINMIMNOHWI</v>
      </c>
      <c r="W30" s="52" t="str">
        <f>IF(ISNA(VLOOKUP($D30,Point_state_reductions!$B$3:$X$117,23,FALSE)),"",VLOOKUP($D30,Point_state_reductions!$B$3:$X$117,23,FALSE))</f>
        <v/>
      </c>
      <c r="Y30" s="185" t="str">
        <f>VLOOKUP(D30,EmissRed_Shortlist!$D$8:$V$111,19,FALSE)</f>
        <v>nonpoint</v>
      </c>
      <c r="Z30" s="201">
        <f t="shared" si="2"/>
        <v>23</v>
      </c>
    </row>
    <row r="31" spans="1:26" ht="14.4" x14ac:dyDescent="0.3">
      <c r="A31" s="92">
        <v>24</v>
      </c>
      <c r="B31" s="92">
        <f>VLOOKUP(D31,EmissRed_Shortlist!$D$8:$W$87,20,FALSE)</f>
        <v>55</v>
      </c>
      <c r="C31" s="153" t="str">
        <f>VLOOKUP(D31,Shortlist_xref!$A$5:$C$77,2,FALSE)</f>
        <v>C-E</v>
      </c>
      <c r="D31" s="3" t="s">
        <v>123</v>
      </c>
      <c r="E31" s="5" t="s">
        <v>51</v>
      </c>
      <c r="F31" s="5" t="s">
        <v>52</v>
      </c>
      <c r="G31" s="3" t="s">
        <v>53</v>
      </c>
      <c r="H31" s="157">
        <f>IF($Y31="mobile",SUMIFS(Mobile_options!F:F,Mobile_options!$B:$B,$D31,Mobile_options!$E:$E,$G31),IF($Y31="nonpoint",SUMIFS(Nonpoint_options!F:F,Nonpoint_options!$B:$B,$D31,Nonpoint_options!$E:$E,$G31),SUMIFS(Point_options!F:F,Point_options!$B:$B,$D31,Point_options!$E:$E,$G31)))</f>
        <v>0.1</v>
      </c>
      <c r="I31" s="154">
        <f>IF($Y31="mobile",SUMIFS(Mobile_options!G:G,Mobile_options!$B:$B,$D31,Mobile_options!$E:$E,$G31),IF($Y31="nonpoint",SUMIFS(Nonpoint_options!G:G,Nonpoint_options!$B:$B,$D31,Nonpoint_options!$E:$E,$G31),SUMIFS(Point_options!G:G,Point_options!$B:$B,$D31,Point_options!$E:$E,$G31)))</f>
        <v>0.78</v>
      </c>
      <c r="J31" s="158">
        <f>IF(Y31="mobile",VLOOKUP($D31&amp;$G31,Mobile_options!$X$1:$Y$150,2,FALSE),IF(Y31="nonpoint",VLOOKUP($D31&amp;$G31,Nonpoint_options!$W$1:$X$150,2,FALSE),VLOOKUP($D31&amp;$G31,Point_options!$U$1:$V$150,2,FALSE)))</f>
        <v>1290</v>
      </c>
      <c r="K31" s="159">
        <f>IF($Y31="mobile",SUMIFS(Mobile_options!I:I,Mobile_options!$B:$B,$D31,Mobile_options!$E:$E,$G31),IF($Y31="nonpoint",SUMIFS(Nonpoint_options!I:I,Nonpoint_options!$B:$B,$D31,Nonpoint_options!$E:$E,$G31),SUMIFS(Point_options!I:I,Point_options!$B:$B,$D31,Point_options!$E:$E,$G31)))</f>
        <v>1.1887699413062336E-3</v>
      </c>
      <c r="L31" s="168">
        <f>IF($Y31="mobile",SUMIFS(Mobile_options!J:J,Mobile_options!$B:$B,$D31,Mobile_options!$E:$E,$G31),IF($Y31="nonpoint",SUMIFS(Nonpoint_options!J:J,Nonpoint_options!$B:$B,$D31,Nonpoint_options!$E:$E,$G31),SUMIFS(Point_options!J:J,Point_options!$B:$B,$D31,Point_options!$E:$E,$G31)))</f>
        <v>139.88356291260001</v>
      </c>
      <c r="M31" s="92" t="s">
        <v>250</v>
      </c>
      <c r="N31" s="92" t="s">
        <v>250</v>
      </c>
      <c r="O31" s="92" t="s">
        <v>263</v>
      </c>
      <c r="P31" s="92" t="s">
        <v>250</v>
      </c>
      <c r="Q31" s="92" t="s">
        <v>253</v>
      </c>
      <c r="R31" s="92" t="s">
        <v>253</v>
      </c>
      <c r="S31" s="52" t="str">
        <f>IF(ISNA(VLOOKUP($D31,Mobile_state_reductions!$B$4:$X$114,23,FALSE))=TRUE,"",VLOOKUP($D31,Mobile_state_reductions!$B$4:$X$114,23,FALSE))</f>
        <v/>
      </c>
      <c r="T31" s="52" t="str">
        <f t="shared" si="0"/>
        <v>NP - 72VOC</v>
      </c>
      <c r="U31" s="52">
        <f t="shared" si="1"/>
        <v>24</v>
      </c>
      <c r="V31" s="52" t="str">
        <f>IF(ISNA(VLOOKUP($D31,Nonpoint_state_reductions!$B$4:$X$108,23,FALSE))=TRUE,"",VLOOKUP($D31,Nonpoint_state_reductions!$B$4:$X$108,23,FALSE))</f>
        <v>ILINMIMNOHWI</v>
      </c>
      <c r="W31" s="52" t="str">
        <f>IF(ISNA(VLOOKUP($D31,Point_state_reductions!$B$3:$X$117,23,FALSE)),"",VLOOKUP($D31,Point_state_reductions!$B$3:$X$117,23,FALSE))</f>
        <v/>
      </c>
      <c r="Y31" s="185" t="str">
        <f>VLOOKUP(D31,EmissRed_Shortlist!$D$8:$V$111,19,FALSE)</f>
        <v>nonpoint</v>
      </c>
      <c r="Z31" s="201">
        <f t="shared" si="2"/>
        <v>24</v>
      </c>
    </row>
    <row r="32" spans="1:26" ht="24.2" x14ac:dyDescent="0.3">
      <c r="A32" s="92">
        <v>25</v>
      </c>
      <c r="B32" s="92">
        <f>VLOOKUP(D32,EmissRed_Shortlist!$D$8:$W$87,20,FALSE)</f>
        <v>47</v>
      </c>
      <c r="C32" s="153" t="str">
        <f>VLOOKUP(D32,Shortlist_xref!$A$5:$C$77,2,FALSE)</f>
        <v>C-E</v>
      </c>
      <c r="D32" s="57" t="s">
        <v>127</v>
      </c>
      <c r="E32" s="58" t="s">
        <v>128</v>
      </c>
      <c r="F32" s="12" t="s">
        <v>129</v>
      </c>
      <c r="G32" s="57" t="s">
        <v>53</v>
      </c>
      <c r="H32" s="157">
        <f>IF($Y32="mobile",SUMIFS(Mobile_options!F:F,Mobile_options!$B:$B,$D32,Mobile_options!$E:$E,$G32),IF($Y32="nonpoint",SUMIFS(Nonpoint_options!F:F,Nonpoint_options!$B:$B,$D32,Nonpoint_options!$E:$E,$G32),SUMIFS(Point_options!F:F,Point_options!$B:$B,$D32,Point_options!$E:$E,$G32)))</f>
        <v>0.1</v>
      </c>
      <c r="I32" s="154">
        <f>IF($Y32="mobile",SUMIFS(Mobile_options!G:G,Mobile_options!$B:$B,$D32,Mobile_options!$E:$E,$G32),IF($Y32="nonpoint",SUMIFS(Nonpoint_options!G:G,Nonpoint_options!$B:$B,$D32,Nonpoint_options!$E:$E,$G32),SUMIFS(Point_options!G:G,Point_options!$B:$B,$D32,Point_options!$E:$E,$G32)))</f>
        <v>0.36400817995910023</v>
      </c>
      <c r="J32" s="158">
        <f>IF(Y32="mobile",VLOOKUP($D32&amp;$G32,Mobile_options!$X$1:$Y$150,2,FALSE),IF(Y32="nonpoint",VLOOKUP($D32&amp;$G32,Nonpoint_options!$W$1:$X$150,2,FALSE),VLOOKUP($D32&amp;$G32,Point_options!$U$1:$V$150,2,FALSE)))</f>
        <v>1350</v>
      </c>
      <c r="K32" s="159">
        <f>IF($Y32="mobile",SUMIFS(Mobile_options!I:I,Mobile_options!$B:$B,$D32,Mobile_options!$E:$E,$G32),IF($Y32="nonpoint",SUMIFS(Nonpoint_options!I:I,Nonpoint_options!$B:$B,$D32,Nonpoint_options!$E:$E,$G32),SUMIFS(Point_options!I:I,Point_options!$B:$B,$D32,Point_options!$E:$E,$G32)))</f>
        <v>5.4656836017417899E-3</v>
      </c>
      <c r="L32" s="168">
        <f>IF($Y32="mobile",SUMIFS(Mobile_options!J:J,Mobile_options!$B:$B,$D32,Mobile_options!$E:$E,$G32),IF($Y32="nonpoint",SUMIFS(Nonpoint_options!J:J,Nonpoint_options!$B:$B,$D32,Nonpoint_options!$E:$E,$G32),SUMIFS(Point_options!J:J,Point_options!$B:$B,$D32,Point_options!$E:$E,$G32)))</f>
        <v>300.14416057259717</v>
      </c>
      <c r="M32" s="92" t="s">
        <v>250</v>
      </c>
      <c r="N32" s="92" t="s">
        <v>250</v>
      </c>
      <c r="O32" s="92" t="s">
        <v>250</v>
      </c>
      <c r="P32" s="92" t="s">
        <v>250</v>
      </c>
      <c r="Q32" s="92" t="s">
        <v>251</v>
      </c>
      <c r="R32" s="92" t="s">
        <v>253</v>
      </c>
      <c r="S32" s="52" t="str">
        <f>IF(ISNA(VLOOKUP($D32,Mobile_state_reductions!$B$4:$X$114,23,FALSE))=TRUE,"",VLOOKUP($D32,Mobile_state_reductions!$B$4:$X$114,23,FALSE))</f>
        <v/>
      </c>
      <c r="T32" s="52" t="str">
        <f t="shared" si="0"/>
        <v>NP - 78VOC</v>
      </c>
      <c r="U32" s="52">
        <f t="shared" si="1"/>
        <v>25</v>
      </c>
      <c r="V32" s="52" t="str">
        <f>IF(ISNA(VLOOKUP($D32,Nonpoint_state_reductions!$B$4:$X$108,23,FALSE))=TRUE,"",VLOOKUP($D32,Nonpoint_state_reductions!$B$4:$X$108,23,FALSE))</f>
        <v/>
      </c>
      <c r="W32" s="52" t="str">
        <f>IF(ISNA(VLOOKUP($D32,Point_state_reductions!$B$3:$X$117,23,FALSE)),"",VLOOKUP($D32,Point_state_reductions!$B$3:$X$117,23,FALSE))</f>
        <v/>
      </c>
      <c r="Y32" s="185" t="str">
        <f>VLOOKUP(D32,EmissRed_Shortlist!$D$8:$V$111,19,FALSE)</f>
        <v>nonpoint</v>
      </c>
      <c r="Z32" s="201">
        <f t="shared" si="2"/>
        <v>25</v>
      </c>
    </row>
    <row r="33" spans="1:26" ht="14.4" x14ac:dyDescent="0.3">
      <c r="A33" s="92">
        <v>26</v>
      </c>
      <c r="B33" s="92">
        <f>VLOOKUP(D33,EmissRed_Shortlist!$D$8:$W$87,20,FALSE)</f>
        <v>31</v>
      </c>
      <c r="C33" s="153" t="str">
        <f>VLOOKUP(D33,Shortlist_xref!$A$5:$C$77,2,FALSE)</f>
        <v>EmissRed</v>
      </c>
      <c r="D33" s="57" t="s">
        <v>9</v>
      </c>
      <c r="E33" s="58" t="s">
        <v>10</v>
      </c>
      <c r="F33" s="12" t="s">
        <v>11</v>
      </c>
      <c r="G33" s="57" t="s">
        <v>12</v>
      </c>
      <c r="H33" s="157">
        <f>IF($Y33="mobile",SUMIFS(Mobile_options!F:F,Mobile_options!$B:$B,$D33,Mobile_options!$E:$E,$G33),IF($Y33="nonpoint",SUMIFS(Nonpoint_options!F:F,Nonpoint_options!$B:$B,$D33,Nonpoint_options!$E:$E,$G33),SUMIFS(Point_options!F:F,Point_options!$B:$B,$D33,Point_options!$E:$E,$G33)))</f>
        <v>0.1</v>
      </c>
      <c r="I33" s="154">
        <f>IF($Y33="mobile",SUMIFS(Mobile_options!G:G,Mobile_options!$B:$B,$D33,Mobile_options!$E:$E,$G33),IF($Y33="nonpoint",SUMIFS(Nonpoint_options!G:G,Nonpoint_options!$B:$B,$D33,Nonpoint_options!$E:$E,$G33),SUMIFS(Point_options!G:G,Point_options!$B:$B,$D33,Point_options!$E:$E,$G33)))</f>
        <v>0.4</v>
      </c>
      <c r="J33" s="158">
        <f>IF(Y33="mobile",VLOOKUP($D33&amp;$G33,Mobile_options!$X$1:$Y$150,2,FALSE),IF(Y33="nonpoint",VLOOKUP($D33&amp;$G33,Nonpoint_options!$W$1:$X$150,2,FALSE),VLOOKUP($D33&amp;$G33,Point_options!$U$1:$V$150,2,FALSE)))</f>
        <v>1410</v>
      </c>
      <c r="K33" s="159">
        <f>IF($Y33="mobile",SUMIFS(Mobile_options!I:I,Mobile_options!$B:$B,$D33,Mobile_options!$E:$E,$G33),IF($Y33="nonpoint",SUMIFS(Nonpoint_options!I:I,Nonpoint_options!$B:$B,$D33,Nonpoint_options!$E:$E,$G33),SUMIFS(Point_options!I:I,Point_options!$B:$B,$D33,Point_options!$E:$E,$G33)))</f>
        <v>5.7142175062893847E-4</v>
      </c>
      <c r="L33" s="168">
        <f>IF($Y33="mobile",SUMIFS(Mobile_options!J:J,Mobile_options!$B:$B,$D33,Mobile_options!$E:$E,$G33),IF($Y33="nonpoint",SUMIFS(Nonpoint_options!J:J,Nonpoint_options!$B:$B,$D33,Nonpoint_options!$E:$E,$G33),SUMIFS(Point_options!J:J,Point_options!$B:$B,$D33,Point_options!$E:$E,$G33)))</f>
        <v>2063.2579638288003</v>
      </c>
      <c r="M33" s="92" t="s">
        <v>250</v>
      </c>
      <c r="N33" s="92" t="s">
        <v>250</v>
      </c>
      <c r="O33" s="92" t="s">
        <v>263</v>
      </c>
      <c r="P33" s="92" t="s">
        <v>250</v>
      </c>
      <c r="Q33" s="92" t="s">
        <v>251</v>
      </c>
      <c r="R33" s="92" t="s">
        <v>253</v>
      </c>
      <c r="S33" s="52" t="str">
        <f>IF(ISNA(VLOOKUP($D33,Mobile_state_reductions!$B$4:$X$114,23,FALSE))=TRUE,"",VLOOKUP($D33,Mobile_state_reductions!$B$4:$X$114,23,FALSE))</f>
        <v/>
      </c>
      <c r="T33" s="52" t="str">
        <f t="shared" si="0"/>
        <v>P - 1NOx</v>
      </c>
      <c r="U33" s="52">
        <f t="shared" si="1"/>
        <v>26</v>
      </c>
      <c r="V33" s="52" t="str">
        <f>IF(ISNA(VLOOKUP($D33,Nonpoint_state_reductions!$B$4:$X$108,23,FALSE))=TRUE,"",VLOOKUP($D33,Nonpoint_state_reductions!$B$4:$X$108,23,FALSE))</f>
        <v/>
      </c>
      <c r="W33" s="52" t="str">
        <f>IF(ISNA(VLOOKUP($D33,Point_state_reductions!$B$3:$X$117,23,FALSE)),"",VLOOKUP($D33,Point_state_reductions!$B$3:$X$117,23,FALSE))</f>
        <v>ILINMIOHWI</v>
      </c>
      <c r="Y33" s="185" t="str">
        <f>VLOOKUP(D33,EmissRed_Shortlist!$D$8:$V$111,19,FALSE)</f>
        <v>point</v>
      </c>
      <c r="Z33" s="201">
        <f t="shared" si="2"/>
        <v>26</v>
      </c>
    </row>
    <row r="34" spans="1:26" ht="14.4" x14ac:dyDescent="0.3">
      <c r="A34" s="166">
        <v>27</v>
      </c>
      <c r="B34" s="166">
        <f>VLOOKUP(D34,EmissRed_Shortlist!$D$8:$W$87,20,FALSE)</f>
        <v>30</v>
      </c>
      <c r="C34" s="160" t="str">
        <f>VLOOKUP(D34,Shortlist_xref!$A$5:$C$77,2,FALSE)</f>
        <v>EmissRed</v>
      </c>
      <c r="D34" s="160" t="s">
        <v>314</v>
      </c>
      <c r="E34" s="167" t="s">
        <v>20</v>
      </c>
      <c r="F34" s="167" t="s">
        <v>11</v>
      </c>
      <c r="G34" s="160" t="s">
        <v>12</v>
      </c>
      <c r="H34" s="161">
        <f>IF($Y34="mobile",SUMIFS(Mobile_options!F:F,Mobile_options!$B:$B,$D34,Mobile_options!$E:$E,$G34),IF($Y34="nonpoint",SUMIFS(Nonpoint_options!F:F,Nonpoint_options!$B:$B,$D34,Nonpoint_options!$E:$E,$G34),SUMIFS(Point_options!F:F,Point_options!$B:$B,$D34,Point_options!$E:$E,$G34)))</f>
        <v>0.1</v>
      </c>
      <c r="I34" s="162">
        <f>IF($Y34="mobile",SUMIFS(Mobile_options!G:G,Mobile_options!$B:$B,$D34,Mobile_options!$E:$E,$G34),IF($Y34="nonpoint",SUMIFS(Nonpoint_options!G:G,Nonpoint_options!$B:$B,$D34,Nonpoint_options!$E:$E,$G34),SUMIFS(Point_options!G:G,Point_options!$B:$B,$D34,Point_options!$E:$E,$G34)))</f>
        <v>0.375</v>
      </c>
      <c r="J34" s="163">
        <f>IF(Y34="mobile",VLOOKUP($D34&amp;$G34,Mobile_options!$X$1:$Y$150,2,FALSE),IF(Y34="nonpoint",VLOOKUP($D34&amp;$G34,Nonpoint_options!$W$1:$X$150,2,FALSE),VLOOKUP($D34&amp;$G34,Point_options!$U$1:$V$150,2,FALSE)))</f>
        <v>1450</v>
      </c>
      <c r="K34" s="164">
        <f>IF($Y34="mobile",SUMIFS(Mobile_options!I:I,Mobile_options!$B:$B,$D34,Mobile_options!$E:$E,$G34),IF($Y34="nonpoint",SUMIFS(Nonpoint_options!I:I,Nonpoint_options!$B:$B,$D34,Nonpoint_options!$E:$E,$G34),SUMIFS(Point_options!I:I,Point_options!$B:$B,$D34,Point_options!$E:$E,$G34)))</f>
        <v>6.2039100031798411E-4</v>
      </c>
      <c r="L34" s="169">
        <f>IF($Y34="mobile",SUMIFS(Mobile_options!J:J,Mobile_options!$B:$B,$D34,Mobile_options!$E:$E,$G34),IF($Y34="nonpoint",SUMIFS(Nonpoint_options!J:J,Nonpoint_options!$B:$B,$D34,Nonpoint_options!$E:$E,$G34),SUMIFS(Point_options!J:J,Point_options!$B:$B,$D34,Point_options!$E:$E,$G34)))</f>
        <v>2097.4256884736251</v>
      </c>
      <c r="M34" s="166" t="s">
        <v>250</v>
      </c>
      <c r="N34" s="166" t="s">
        <v>250</v>
      </c>
      <c r="O34" s="166" t="s">
        <v>263</v>
      </c>
      <c r="P34" s="166" t="s">
        <v>250</v>
      </c>
      <c r="Q34" s="166" t="s">
        <v>251</v>
      </c>
      <c r="R34" s="166" t="s">
        <v>251</v>
      </c>
      <c r="S34" s="52" t="str">
        <f>IF(ISNA(VLOOKUP($D34,Mobile_state_reductions!$B$4:$X$114,23,FALSE))=TRUE,"",VLOOKUP($D34,Mobile_state_reductions!$B$4:$X$114,23,FALSE))</f>
        <v/>
      </c>
      <c r="T34" s="52" t="str">
        <f t="shared" si="0"/>
        <v>P - 12NOx</v>
      </c>
      <c r="U34" s="52">
        <f t="shared" si="1"/>
        <v>27</v>
      </c>
      <c r="V34" s="52" t="str">
        <f>IF(ISNA(VLOOKUP($D34,Nonpoint_state_reductions!$B$4:$X$108,23,FALSE))=TRUE,"",VLOOKUP($D34,Nonpoint_state_reductions!$B$4:$X$108,23,FALSE))</f>
        <v/>
      </c>
      <c r="W34" s="52" t="str">
        <f>IF(ISNA(VLOOKUP($D34,Point_state_reductions!$B$3:$X$117,23,FALSE)),"",VLOOKUP($D34,Point_state_reductions!$B$3:$X$117,23,FALSE))</f>
        <v>ILINMIOHWI</v>
      </c>
      <c r="Y34" s="185" t="str">
        <f>VLOOKUP(D34,EmissRed_Shortlist!$D$8:$V$111,19,FALSE)</f>
        <v>point</v>
      </c>
      <c r="Z34" s="201">
        <f t="shared" si="2"/>
        <v>27</v>
      </c>
    </row>
    <row r="35" spans="1:26" ht="14.4" x14ac:dyDescent="0.3">
      <c r="A35" s="92">
        <v>28</v>
      </c>
      <c r="B35" s="92">
        <f>VLOOKUP(D35,EmissRed_Shortlist!$D$8:$W$87,20,FALSE)</f>
        <v>15</v>
      </c>
      <c r="C35" s="153" t="str">
        <f>VLOOKUP(D35,Shortlist_xref!$A$5:$C$77,2,FALSE)</f>
        <v>EmissRed</v>
      </c>
      <c r="D35" s="57" t="s">
        <v>84</v>
      </c>
      <c r="E35" s="58" t="s">
        <v>85</v>
      </c>
      <c r="F35" s="12" t="s">
        <v>86</v>
      </c>
      <c r="G35" s="57" t="s">
        <v>12</v>
      </c>
      <c r="H35" s="157">
        <f>IF($Y35="mobile",SUMIFS(Mobile_options!F:F,Mobile_options!$B:$B,$D35,Mobile_options!$E:$E,$G35),IF($Y35="nonpoint",SUMIFS(Nonpoint_options!F:F,Nonpoint_options!$B:$B,$D35,Nonpoint_options!$E:$E,$G35),SUMIFS(Point_options!F:F,Point_options!$B:$B,$D35,Point_options!$E:$E,$G35)))</f>
        <v>0.1</v>
      </c>
      <c r="I35" s="154">
        <f>IF($Y35="mobile",SUMIFS(Mobile_options!G:G,Mobile_options!$B:$B,$D35,Mobile_options!$E:$E,$G35),IF($Y35="nonpoint",SUMIFS(Nonpoint_options!G:G,Nonpoint_options!$B:$B,$D35,Nonpoint_options!$E:$E,$G35),SUMIFS(Point_options!G:G,Point_options!$B:$B,$D35,Point_options!$E:$E,$G35)))</f>
        <v>0.41</v>
      </c>
      <c r="J35" s="158" t="str">
        <f>IF(Y35="mobile",VLOOKUP($D35&amp;$G35,Mobile_options!$X$1:$Y$150,2,FALSE),IF(Y35="nonpoint",VLOOKUP($D35&amp;$G35,Nonpoint_options!$W$1:$X$150,2,FALSE),VLOOKUP($D35&amp;$G35,Point_options!$U$1:$V$150,2,FALSE)))</f>
        <v>$928-$1,974</v>
      </c>
      <c r="K35" s="159">
        <f>IF($Y35="mobile",SUMIFS(Mobile_options!I:I,Mobile_options!$B:$B,$D35,Mobile_options!$E:$E,$G35),IF($Y35="nonpoint",SUMIFS(Nonpoint_options!I:I,Nonpoint_options!$B:$B,$D35,Nonpoint_options!$E:$E,$G35),SUMIFS(Point_options!I:I,Point_options!$B:$B,$D35,Point_options!$E:$E,$G35)))</f>
        <v>0.10182339626862107</v>
      </c>
      <c r="L35" s="168">
        <f>IF($Y35="mobile",SUMIFS(Mobile_options!J:J,Mobile_options!$B:$B,$D35,Mobile_options!$E:$E,$G35),IF($Y35="nonpoint",SUMIFS(Nonpoint_options!J:J,Nonpoint_options!$B:$B,$D35,Nonpoint_options!$E:$E,$G35),SUMIFS(Point_options!J:J,Point_options!$B:$B,$D35,Point_options!$E:$E,$G35)))</f>
        <v>4476.4473492230227</v>
      </c>
      <c r="M35" s="92" t="s">
        <v>250</v>
      </c>
      <c r="N35" s="92" t="s">
        <v>250</v>
      </c>
      <c r="O35" s="92" t="s">
        <v>262</v>
      </c>
      <c r="P35" s="92" t="s">
        <v>250</v>
      </c>
      <c r="Q35" s="92" t="s">
        <v>251</v>
      </c>
      <c r="R35" s="92" t="s">
        <v>253</v>
      </c>
      <c r="T35" s="52" t="str">
        <f t="shared" si="0"/>
        <v>NP - 6NOx</v>
      </c>
      <c r="U35" s="52">
        <f t="shared" si="1"/>
        <v>28</v>
      </c>
      <c r="V35" s="52" t="str">
        <f>IF(ISNA(VLOOKUP($D35,Nonpoint_state_reductions!$B$4:$X$108,23,FALSE))=TRUE,"",VLOOKUP($D35,Nonpoint_state_reductions!$B$4:$X$108,23,FALSE))</f>
        <v>ILINMIMNOHWI</v>
      </c>
      <c r="W35" s="52" t="str">
        <f>IF(ISNA(VLOOKUP($D35,Point_state_reductions!$B$3:$X$117,23,FALSE)),"",VLOOKUP($D35,Point_state_reductions!$B$3:$X$117,23,FALSE))</f>
        <v/>
      </c>
      <c r="Y35" s="185" t="str">
        <f>VLOOKUP(D35,EmissRed_Shortlist!$D$8:$V$111,19,FALSE)</f>
        <v>nonpoint</v>
      </c>
      <c r="Z35" s="201">
        <f t="shared" si="2"/>
        <v>28</v>
      </c>
    </row>
    <row r="36" spans="1:26" ht="14.4" x14ac:dyDescent="0.3">
      <c r="A36" s="92">
        <v>29</v>
      </c>
      <c r="B36" s="92">
        <f>VLOOKUP(D36,EmissRed_Shortlist!$D$8:$W$87,20,FALSE)</f>
        <v>8</v>
      </c>
      <c r="C36" s="153" t="str">
        <f>VLOOKUP(D36,Shortlist_xref!$A$5:$C$77,2,FALSE)</f>
        <v>EmissRed</v>
      </c>
      <c r="D36" s="57" t="s">
        <v>24</v>
      </c>
      <c r="E36" s="58" t="s">
        <v>25</v>
      </c>
      <c r="F36" s="12" t="s">
        <v>26</v>
      </c>
      <c r="G36" s="57" t="s">
        <v>12</v>
      </c>
      <c r="H36" s="157">
        <f>IF($Y36="mobile",SUMIFS(Mobile_options!F:F,Mobile_options!$B:$B,$D36,Mobile_options!$E:$E,$G36),IF($Y36="nonpoint",SUMIFS(Nonpoint_options!F:F,Nonpoint_options!$B:$B,$D36,Nonpoint_options!$E:$E,$G36),SUMIFS(Point_options!F:F,Point_options!$B:$B,$D36,Point_options!$E:$E,$G36)))</f>
        <v>0.1</v>
      </c>
      <c r="I36" s="154">
        <f>IF($Y36="mobile",SUMIFS(Mobile_options!G:G,Mobile_options!$B:$B,$D36,Mobile_options!$E:$E,$G36),IF($Y36="nonpoint",SUMIFS(Nonpoint_options!G:G,Nonpoint_options!$B:$B,$D36,Nonpoint_options!$E:$E,$G36),SUMIFS(Point_options!G:G,Point_options!$B:$B,$D36,Point_options!$E:$E,$G36)))</f>
        <v>0.9</v>
      </c>
      <c r="J36" s="158">
        <f>IF(Y36="mobile",VLOOKUP($D36&amp;$G36,Mobile_options!$X$1:$Y$150,2,FALSE),IF(Y36="nonpoint",VLOOKUP($D36&amp;$G36,Nonpoint_options!$W$1:$X$150,2,FALSE),VLOOKUP($D36&amp;$G36,Point_options!$U$1:$V$150,2,FALSE)))</f>
        <v>1825</v>
      </c>
      <c r="K36" s="159">
        <f>IF($Y36="mobile",SUMIFS(Mobile_options!I:I,Mobile_options!$B:$B,$D36,Mobile_options!$E:$E,$G36),IF($Y36="nonpoint",SUMIFS(Nonpoint_options!I:I,Nonpoint_options!$B:$B,$D36,Nonpoint_options!$E:$E,$G36),SUMIFS(Point_options!I:I,Point_options!$B:$B,$D36,Point_options!$E:$E,$G36)))</f>
        <v>1.0913340875354726E-3</v>
      </c>
      <c r="L36" s="168">
        <f>IF($Y36="mobile",SUMIFS(Mobile_options!J:J,Mobile_options!$B:$B,$D36,Mobile_options!$E:$E,$G36),IF($Y36="nonpoint",SUMIFS(Nonpoint_options!J:J,Nonpoint_options!$B:$B,$D36,Nonpoint_options!$E:$E,$G36),SUMIFS(Point_options!J:J,Point_options!$B:$B,$D36,Point_options!$E:$E,$G36)))</f>
        <v>6957.523090314</v>
      </c>
      <c r="M36" s="92" t="s">
        <v>250</v>
      </c>
      <c r="N36" s="92" t="s">
        <v>250</v>
      </c>
      <c r="O36" s="92" t="s">
        <v>263</v>
      </c>
      <c r="P36" s="92" t="s">
        <v>250</v>
      </c>
      <c r="Q36" s="92" t="s">
        <v>251</v>
      </c>
      <c r="R36" s="92" t="s">
        <v>253</v>
      </c>
      <c r="S36" s="52" t="str">
        <f>IF(ISNA(VLOOKUP($D36,Mobile_state_reductions!$B$4:$X$114,23,FALSE))=TRUE,"",VLOOKUP($D36,Mobile_state_reductions!$B$4:$X$114,23,FALSE))</f>
        <v/>
      </c>
      <c r="T36" s="52" t="str">
        <f t="shared" si="0"/>
        <v>P - 15NOx</v>
      </c>
      <c r="U36" s="52">
        <f t="shared" si="1"/>
        <v>29</v>
      </c>
      <c r="V36" s="52" t="str">
        <f>IF(ISNA(VLOOKUP($D36,Nonpoint_state_reductions!$B$4:$X$108,23,FALSE))=TRUE,"",VLOOKUP($D36,Nonpoint_state_reductions!$B$4:$X$108,23,FALSE))</f>
        <v/>
      </c>
      <c r="W36" s="52" t="str">
        <f>IF(ISNA(VLOOKUP($D36,Point_state_reductions!$B$3:$X$117,23,FALSE)),"",VLOOKUP($D36,Point_state_reductions!$B$3:$X$117,23,FALSE))</f>
        <v>ILINMIOHWI</v>
      </c>
      <c r="Y36" s="185" t="str">
        <f>VLOOKUP(D36,EmissRed_Shortlist!$D$8:$V$111,19,FALSE)</f>
        <v>point</v>
      </c>
      <c r="Z36" s="201">
        <f t="shared" si="2"/>
        <v>29</v>
      </c>
    </row>
    <row r="37" spans="1:26" ht="14.4" x14ac:dyDescent="0.3">
      <c r="A37" s="92">
        <v>30</v>
      </c>
      <c r="B37" s="92">
        <f>VLOOKUP(D37,EmissRed_Shortlist!$D$8:$W$87,20,FALSE)</f>
        <v>74</v>
      </c>
      <c r="C37" s="153" t="str">
        <f>VLOOKUP(D37,Shortlist_xref!$A$5:$C$77,2,FALSE)</f>
        <v>CE</v>
      </c>
      <c r="D37" s="57" t="s">
        <v>206</v>
      </c>
      <c r="E37" s="58" t="s">
        <v>178</v>
      </c>
      <c r="F37" s="12" t="s">
        <v>207</v>
      </c>
      <c r="G37" s="57" t="s">
        <v>12</v>
      </c>
      <c r="H37" s="157">
        <f>IF($Y37="mobile",SUMIFS(Mobile_options!F:F,Mobile_options!$B:$B,$D37,Mobile_options!$E:$E,$G37),IF($Y37="nonpoint",SUMIFS(Nonpoint_options!F:F,Nonpoint_options!$B:$B,$D37,Nonpoint_options!$E:$E,$G37),SUMIFS(Point_options!F:F,Point_options!$B:$B,$D37,Point_options!$E:$E,$G37)))</f>
        <v>0.01</v>
      </c>
      <c r="I37" s="154">
        <f>IF($Y37="mobile",SUMIFS(Mobile_options!G:G,Mobile_options!$B:$B,$D37,Mobile_options!$E:$E,$G37),IF($Y37="nonpoint",SUMIFS(Nonpoint_options!G:G,Nonpoint_options!$B:$B,$D37,Nonpoint_options!$E:$E,$G37),SUMIFS(Point_options!G:G,Point_options!$B:$B,$D37,Point_options!$E:$E,$G37)))</f>
        <v>0.65</v>
      </c>
      <c r="J37" s="158" t="str">
        <f>IF(Y37="mobile",VLOOKUP($D37&amp;$G37,Mobile_options!$X$1:$Y$150,2,FALSE),IF(Y37="nonpoint",VLOOKUP($D37&amp;$G37,Nonpoint_options!$W$1:$X$150,2,FALSE),VLOOKUP($D37&amp;$G37,Point_options!$U$1:$V$150,2,FALSE)))</f>
        <v xml:space="preserve">$2,218 / ton VOC+CO+NOx combined </v>
      </c>
      <c r="K37" s="159">
        <f>IF($Y37="mobile",SUMIFS(Mobile_options!I:I,Mobile_options!$B:$B,$D37,Mobile_options!$E:$E,$G37),IF($Y37="nonpoint",SUMIFS(Nonpoint_options!I:I,Nonpoint_options!$B:$B,$D37,Nonpoint_options!$E:$E,$G37),SUMIFS(Point_options!I:I,Point_options!$B:$B,$D37,Point_options!$E:$E,$G37)))</f>
        <v>1.042221851118114E-3</v>
      </c>
      <c r="L37" s="168">
        <f>IF($Y37="mobile",SUMIFS(Mobile_options!J:J,Mobile_options!$B:$B,$D37,Mobile_options!$E:$E,$G37),IF($Y37="nonpoint",SUMIFS(Nonpoint_options!J:J,Nonpoint_options!$B:$B,$D37,Nonpoint_options!$E:$E,$G37),SUMIFS(Point_options!J:J,Point_options!$B:$B,$D37,Point_options!$E:$E,$G37)))</f>
        <v>7.2639956662181531</v>
      </c>
      <c r="M37" s="92" t="s">
        <v>250</v>
      </c>
      <c r="N37" s="92" t="s">
        <v>250</v>
      </c>
      <c r="O37" s="92" t="s">
        <v>250</v>
      </c>
      <c r="P37" s="92" t="s">
        <v>250</v>
      </c>
      <c r="Q37" s="92" t="s">
        <v>253</v>
      </c>
      <c r="R37" s="92" t="s">
        <v>253</v>
      </c>
      <c r="S37" s="52" t="str">
        <f>IF(ISNA(VLOOKUP($D37,Mobile_state_reductions!$B$4:$X$114,23,FALSE))=TRUE,"",VLOOKUP($D37,Mobile_state_reductions!$B$4:$X$114,23,FALSE))</f>
        <v/>
      </c>
      <c r="T37" s="52" t="str">
        <f t="shared" si="0"/>
        <v>A-2NOx</v>
      </c>
      <c r="U37" s="52">
        <f t="shared" si="1"/>
        <v>30</v>
      </c>
      <c r="V37" s="52" t="str">
        <f>IF(ISNA(VLOOKUP($D37,Nonpoint_state_reductions!$B$4:$X$108,23,FALSE))=TRUE,"",VLOOKUP($D37,Nonpoint_state_reductions!$B$4:$X$108,23,FALSE))</f>
        <v/>
      </c>
      <c r="W37" s="52" t="str">
        <f>IF(ISNA(VLOOKUP($D37,Point_state_reductions!$B$3:$X$117,23,FALSE)),"",VLOOKUP($D37,Point_state_reductions!$B$3:$X$117,23,FALSE))</f>
        <v/>
      </c>
      <c r="Y37" s="185" t="str">
        <f>VLOOKUP(D37,EmissRed_Shortlist!$D$8:$V$111,19,FALSE)</f>
        <v>mobile</v>
      </c>
      <c r="Z37" s="201">
        <f t="shared" si="2"/>
        <v>30</v>
      </c>
    </row>
    <row r="38" spans="1:26" ht="14.4" x14ac:dyDescent="0.3">
      <c r="A38" s="92">
        <v>31</v>
      </c>
      <c r="B38" s="92">
        <f>VLOOKUP(D38,EmissRed_Shortlist!$D$8:$W$87,20,FALSE)</f>
        <v>74</v>
      </c>
      <c r="C38" s="153" t="str">
        <f>VLOOKUP(D38,Shortlist_xref!$A$5:$C$77,2,FALSE)</f>
        <v>CE</v>
      </c>
      <c r="D38" s="3" t="s">
        <v>206</v>
      </c>
      <c r="E38" s="5" t="s">
        <v>178</v>
      </c>
      <c r="F38" s="5" t="s">
        <v>207</v>
      </c>
      <c r="G38" s="3" t="s">
        <v>53</v>
      </c>
      <c r="H38" s="157">
        <f>IF($Y38="mobile",SUMIFS(Mobile_options!F:F,Mobile_options!$B:$B,$D38,Mobile_options!$E:$E,$G38),IF($Y38="nonpoint",SUMIFS(Nonpoint_options!F:F,Nonpoint_options!$B:$B,$D38,Nonpoint_options!$E:$E,$G38),SUMIFS(Point_options!F:F,Point_options!$B:$B,$D38,Point_options!$E:$E,$G38)))</f>
        <v>0.01</v>
      </c>
      <c r="I38" s="154">
        <f>IF($Y38="mobile",SUMIFS(Mobile_options!G:G,Mobile_options!$B:$B,$D38,Mobile_options!$E:$E,$G38),IF($Y38="nonpoint",SUMIFS(Nonpoint_options!G:G,Nonpoint_options!$B:$B,$D38,Nonpoint_options!$E:$E,$G38),SUMIFS(Point_options!G:G,Point_options!$B:$B,$D38,Point_options!$E:$E,$G38)))</f>
        <v>0.3</v>
      </c>
      <c r="J38" s="158" t="str">
        <f>IF(Y38="mobile",VLOOKUP($D38&amp;$G38,Mobile_options!$X$1:$Y$150,2,FALSE),IF(Y38="nonpoint",VLOOKUP($D38&amp;$G38,Nonpoint_options!$W$1:$X$150,2,FALSE),VLOOKUP($D38&amp;$G38,Point_options!$U$1:$V$150,2,FALSE)))</f>
        <v xml:space="preserve">$2,218 / ton VOC+CO+NOx combined </v>
      </c>
      <c r="K38" s="159">
        <f>IF($Y38="mobile",SUMIFS(Mobile_options!I:I,Mobile_options!$B:$B,$D38,Mobile_options!$E:$E,$G38),IF($Y38="nonpoint",SUMIFS(Nonpoint_options!I:I,Nonpoint_options!$B:$B,$D38,Nonpoint_options!$E:$E,$G38),SUMIFS(Point_options!I:I,Point_options!$B:$B,$D38,Point_options!$E:$E,$G38)))</f>
        <v>2.3777421680653047E-4</v>
      </c>
      <c r="L38" s="168">
        <f>IF($Y38="mobile",SUMIFS(Mobile_options!J:J,Mobile_options!$B:$B,$D38,Mobile_options!$E:$E,$G38),IF($Y38="nonpoint",SUMIFS(Nonpoint_options!J:J,Nonpoint_options!$B:$B,$D38,Nonpoint_options!$E:$E,$G38),SUMIFS(Point_options!J:J,Point_options!$B:$B,$D38,Point_options!$E:$E,$G38)))</f>
        <v>1.0761189574048693</v>
      </c>
      <c r="M38" s="92" t="s">
        <v>250</v>
      </c>
      <c r="N38" s="92" t="s">
        <v>250</v>
      </c>
      <c r="O38" s="92" t="s">
        <v>250</v>
      </c>
      <c r="P38" s="92" t="s">
        <v>250</v>
      </c>
      <c r="Q38" s="92" t="s">
        <v>253</v>
      </c>
      <c r="R38" s="92" t="s">
        <v>253</v>
      </c>
      <c r="S38" s="52" t="str">
        <f>IF(ISNA(VLOOKUP($D38,Mobile_state_reductions!$B$4:$X$114,23,FALSE))=TRUE,"",VLOOKUP($D38,Mobile_state_reductions!$B$4:$X$114,23,FALSE))</f>
        <v/>
      </c>
      <c r="T38" s="52" t="str">
        <f t="shared" si="0"/>
        <v>A-2VOC</v>
      </c>
      <c r="U38" s="52">
        <f t="shared" si="1"/>
        <v>31</v>
      </c>
      <c r="V38" s="52" t="str">
        <f>IF(ISNA(VLOOKUP($D38,Nonpoint_state_reductions!$B$4:$X$108,23,FALSE))=TRUE,"",VLOOKUP($D38,Nonpoint_state_reductions!$B$4:$X$108,23,FALSE))</f>
        <v/>
      </c>
      <c r="W38" s="52" t="str">
        <f>IF(ISNA(VLOOKUP($D38,Point_state_reductions!$B$3:$X$117,23,FALSE)),"",VLOOKUP($D38,Point_state_reductions!$B$3:$X$117,23,FALSE))</f>
        <v/>
      </c>
      <c r="Y38" s="185" t="str">
        <f>VLOOKUP(D38,EmissRed_Shortlist!$D$8:$V$111,19,FALSE)</f>
        <v>mobile</v>
      </c>
      <c r="Z38" s="201">
        <f t="shared" si="2"/>
        <v>31</v>
      </c>
    </row>
    <row r="39" spans="1:26" ht="24.2" x14ac:dyDescent="0.3">
      <c r="A39" s="92">
        <v>32</v>
      </c>
      <c r="B39" s="92">
        <f>VLOOKUP(D39,EmissRed_Shortlist!$D$8:$W$87,20,FALSE)</f>
        <v>79</v>
      </c>
      <c r="C39" s="153" t="str">
        <f>VLOOKUP(D39,Shortlist_xref!$A$5:$C$77,2,FALSE)</f>
        <v>CE</v>
      </c>
      <c r="D39" s="57" t="s">
        <v>205</v>
      </c>
      <c r="E39" s="58" t="s">
        <v>218</v>
      </c>
      <c r="F39" s="12" t="s">
        <v>219</v>
      </c>
      <c r="G39" s="57" t="s">
        <v>12</v>
      </c>
      <c r="H39" s="157">
        <f>IF($Y39="mobile",SUMIFS(Mobile_options!F:F,Mobile_options!$B:$B,$D39,Mobile_options!$E:$E,$G39),IF($Y39="nonpoint",SUMIFS(Nonpoint_options!F:F,Nonpoint_options!$B:$B,$D39,Nonpoint_options!$E:$E,$G39),SUMIFS(Point_options!F:F,Point_options!$B:$B,$D39,Point_options!$E:$E,$G39)))</f>
        <v>0</v>
      </c>
      <c r="I39" s="154">
        <f>IF($Y39="mobile",SUMIFS(Mobile_options!G:G,Mobile_options!$B:$B,$D39,Mobile_options!$E:$E,$G39),IF($Y39="nonpoint",SUMIFS(Nonpoint_options!G:G,Nonpoint_options!$B:$B,$D39,Nonpoint_options!$E:$E,$G39),SUMIFS(Point_options!G:G,Point_options!$B:$B,$D39,Point_options!$E:$E,$G39)))</f>
        <v>0</v>
      </c>
      <c r="J39" s="158" t="str">
        <f>IF(Y39="mobile",VLOOKUP($D39&amp;$G39,Mobile_options!$X$1:$Y$150,2,FALSE),IF(Y39="nonpoint",VLOOKUP($D39&amp;$G39,Nonpoint_options!$W$1:$X$150,2,FALSE),VLOOKUP($D39&amp;$G39,Point_options!$U$1:$V$150,2,FALSE)))</f>
        <v>$2,690 combined NOx+VOC+PM+CO</v>
      </c>
      <c r="K39" s="159">
        <f>IF($Y39="mobile",SUMIFS(Mobile_options!I:I,Mobile_options!$B:$B,$D39,Mobile_options!$E:$E,$G39),IF($Y39="nonpoint",SUMIFS(Nonpoint_options!I:I,Nonpoint_options!$B:$B,$D39,Nonpoint_options!$E:$E,$G39),SUMIFS(Point_options!I:I,Point_options!$B:$B,$D39,Point_options!$E:$E,$G39)))</f>
        <v>0</v>
      </c>
      <c r="L39" s="168">
        <f>IF($Y39="mobile",SUMIFS(Mobile_options!J:J,Mobile_options!$B:$B,$D39,Mobile_options!$E:$E,$G39),IF($Y39="nonpoint",SUMIFS(Nonpoint_options!J:J,Nonpoint_options!$B:$B,$D39,Nonpoint_options!$E:$E,$G39),SUMIFS(Point_options!J:J,Point_options!$B:$B,$D39,Point_options!$E:$E,$G39)))</f>
        <v>0</v>
      </c>
      <c r="M39" s="92" t="s">
        <v>250</v>
      </c>
      <c r="N39" s="92" t="s">
        <v>250</v>
      </c>
      <c r="O39" s="92" t="s">
        <v>250</v>
      </c>
      <c r="P39" s="92" t="s">
        <v>250</v>
      </c>
      <c r="Q39" s="92" t="s">
        <v>251</v>
      </c>
      <c r="R39" s="92" t="s">
        <v>251</v>
      </c>
      <c r="S39" s="52" t="str">
        <f>IF(ISNA(VLOOKUP($D39,Mobile_state_reductions!$B$4:$X$114,23,FALSE))=TRUE,"",VLOOKUP($D39,Mobile_state_reductions!$B$4:$X$114,23,FALSE))</f>
        <v/>
      </c>
      <c r="T39" s="52" t="str">
        <f t="shared" ref="T39:T71" si="3">D39&amp;G39</f>
        <v>O-31NOx</v>
      </c>
      <c r="U39" s="52">
        <f t="shared" ref="U39:U71" si="4">A39</f>
        <v>32</v>
      </c>
      <c r="V39" s="52" t="str">
        <f>IF(ISNA(VLOOKUP($D39,Nonpoint_state_reductions!$B$4:$X$108,23,FALSE))=TRUE,"",VLOOKUP($D39,Nonpoint_state_reductions!$B$4:$X$108,23,FALSE))</f>
        <v/>
      </c>
      <c r="W39" s="52" t="str">
        <f>IF(ISNA(VLOOKUP($D39,Point_state_reductions!$B$3:$X$117,23,FALSE)),"",VLOOKUP($D39,Point_state_reductions!$B$3:$X$117,23,FALSE))</f>
        <v/>
      </c>
      <c r="Y39" s="185" t="str">
        <f>VLOOKUP(D39,EmissRed_Shortlist!$D$8:$V$111,19,FALSE)</f>
        <v>mobile</v>
      </c>
      <c r="Z39" s="201">
        <f t="shared" si="2"/>
        <v>32</v>
      </c>
    </row>
    <row r="40" spans="1:26" ht="24.2" x14ac:dyDescent="0.3">
      <c r="A40" s="92">
        <v>33</v>
      </c>
      <c r="B40" s="92">
        <f>VLOOKUP(D40,EmissRed_Shortlist!$D$8:$W$87,20,FALSE)</f>
        <v>79</v>
      </c>
      <c r="C40" s="153" t="str">
        <f>VLOOKUP(D40,Shortlist_xref!$A$5:$C$77,2,FALSE)</f>
        <v>CE</v>
      </c>
      <c r="D40" s="57" t="s">
        <v>205</v>
      </c>
      <c r="E40" s="58" t="s">
        <v>218</v>
      </c>
      <c r="F40" s="12" t="s">
        <v>219</v>
      </c>
      <c r="G40" s="57" t="s">
        <v>53</v>
      </c>
      <c r="H40" s="157">
        <f>IF($Y40="mobile",SUMIFS(Mobile_options!F:F,Mobile_options!$B:$B,$D40,Mobile_options!$E:$E,$G40),IF($Y40="nonpoint",SUMIFS(Nonpoint_options!F:F,Nonpoint_options!$B:$B,$D40,Nonpoint_options!$E:$E,$G40),SUMIFS(Point_options!F:F,Point_options!$B:$B,$D40,Point_options!$E:$E,$G40)))</f>
        <v>0</v>
      </c>
      <c r="I40" s="154">
        <f>IF($Y40="mobile",SUMIFS(Mobile_options!G:G,Mobile_options!$B:$B,$D40,Mobile_options!$E:$E,$G40),IF($Y40="nonpoint",SUMIFS(Nonpoint_options!G:G,Nonpoint_options!$B:$B,$D40,Nonpoint_options!$E:$E,$G40),SUMIFS(Point_options!G:G,Point_options!$B:$B,$D40,Point_options!$E:$E,$G40)))</f>
        <v>0</v>
      </c>
      <c r="J40" s="158" t="str">
        <f>IF(Y40="mobile",VLOOKUP($D40&amp;$G40,Mobile_options!$X$1:$Y$150,2,FALSE),IF(Y40="nonpoint",VLOOKUP($D40&amp;$G40,Nonpoint_options!$W$1:$X$150,2,FALSE),VLOOKUP($D40&amp;$G40,Point_options!$U$1:$V$150,2,FALSE)))</f>
        <v>$2,690 combined NOx+VOC+PM+CO</v>
      </c>
      <c r="K40" s="159">
        <f>IF($Y40="mobile",SUMIFS(Mobile_options!I:I,Mobile_options!$B:$B,$D40,Mobile_options!$E:$E,$G40),IF($Y40="nonpoint",SUMIFS(Nonpoint_options!I:I,Nonpoint_options!$B:$B,$D40,Nonpoint_options!$E:$E,$G40),SUMIFS(Point_options!I:I,Point_options!$B:$B,$D40,Point_options!$E:$E,$G40)))</f>
        <v>0</v>
      </c>
      <c r="L40" s="168">
        <f>IF($Y40="mobile",SUMIFS(Mobile_options!J:J,Mobile_options!$B:$B,$D40,Mobile_options!$E:$E,$G40),IF($Y40="nonpoint",SUMIFS(Nonpoint_options!J:J,Nonpoint_options!$B:$B,$D40,Nonpoint_options!$E:$E,$G40),SUMIFS(Point_options!J:J,Point_options!$B:$B,$D40,Point_options!$E:$E,$G40)))</f>
        <v>0</v>
      </c>
      <c r="M40" s="92" t="s">
        <v>250</v>
      </c>
      <c r="N40" s="92" t="s">
        <v>250</v>
      </c>
      <c r="O40" s="92" t="s">
        <v>250</v>
      </c>
      <c r="P40" s="92" t="s">
        <v>250</v>
      </c>
      <c r="Q40" s="92" t="s">
        <v>251</v>
      </c>
      <c r="R40" s="92" t="s">
        <v>251</v>
      </c>
      <c r="S40" s="52" t="str">
        <f>IF(ISNA(VLOOKUP($D40,Mobile_state_reductions!$B$4:$X$114,23,FALSE))=TRUE,"",VLOOKUP($D40,Mobile_state_reductions!$B$4:$X$114,23,FALSE))</f>
        <v/>
      </c>
      <c r="T40" s="52" t="str">
        <f t="shared" si="3"/>
        <v>O-31VOC</v>
      </c>
      <c r="U40" s="52">
        <f t="shared" si="4"/>
        <v>33</v>
      </c>
      <c r="V40" s="52" t="str">
        <f>IF(ISNA(VLOOKUP($D40,Nonpoint_state_reductions!$B$4:$X$108,23,FALSE))=TRUE,"",VLOOKUP($D40,Nonpoint_state_reductions!$B$4:$X$108,23,FALSE))</f>
        <v/>
      </c>
      <c r="W40" s="52" t="str">
        <f>IF(ISNA(VLOOKUP($D40,Point_state_reductions!$B$3:$X$117,23,FALSE)),"",VLOOKUP($D40,Point_state_reductions!$B$3:$X$117,23,FALSE))</f>
        <v/>
      </c>
      <c r="Y40" s="185" t="str">
        <f>VLOOKUP(D40,EmissRed_Shortlist!$D$8:$V$111,19,FALSE)</f>
        <v>mobile</v>
      </c>
      <c r="Z40" s="201">
        <f t="shared" si="2"/>
        <v>33</v>
      </c>
    </row>
    <row r="41" spans="1:26" ht="14.4" x14ac:dyDescent="0.3">
      <c r="A41" s="92">
        <v>34</v>
      </c>
      <c r="B41" s="92">
        <f>VLOOKUP(D41,EmissRed_Shortlist!$D$8:$W$87,20,FALSE)</f>
        <v>23</v>
      </c>
      <c r="C41" s="153" t="str">
        <f>VLOOKUP(D41,Shortlist_xref!$A$5:$C$77,2,FALSE)</f>
        <v>EmissRed</v>
      </c>
      <c r="D41" s="3" t="s">
        <v>49</v>
      </c>
      <c r="E41" s="5" t="s">
        <v>45</v>
      </c>
      <c r="F41" s="5" t="s">
        <v>21</v>
      </c>
      <c r="G41" s="3" t="s">
        <v>12</v>
      </c>
      <c r="H41" s="157">
        <f>IF($Y41="mobile",SUMIFS(Mobile_options!F:F,Mobile_options!$B:$B,$D41,Mobile_options!$E:$E,$G41),IF($Y41="nonpoint",SUMIFS(Nonpoint_options!F:F,Nonpoint_options!$B:$B,$D41,Nonpoint_options!$E:$E,$G41),SUMIFS(Point_options!F:F,Point_options!$B:$B,$D41,Point_options!$E:$E,$G41)))</f>
        <v>0.1</v>
      </c>
      <c r="I41" s="154">
        <f>IF($Y41="mobile",SUMIFS(Mobile_options!G:G,Mobile_options!$B:$B,$D41,Mobile_options!$E:$E,$G41),IF($Y41="nonpoint",SUMIFS(Nonpoint_options!G:G,Nonpoint_options!$B:$B,$D41,Nonpoint_options!$E:$E,$G41),SUMIFS(Point_options!G:G,Point_options!$B:$B,$D41,Point_options!$E:$E,$G41)))</f>
        <v>0.85</v>
      </c>
      <c r="J41" s="158">
        <f>IF(Y41="mobile",VLOOKUP($D41&amp;$G41,Mobile_options!$X$1:$Y$150,2,FALSE),IF(Y41="nonpoint",VLOOKUP($D41&amp;$G41,Nonpoint_options!$W$1:$X$150,2,FALSE),VLOOKUP($D41&amp;$G41,Point_options!$U$1:$V$150,2,FALSE)))</f>
        <v>3222</v>
      </c>
      <c r="K41" s="159">
        <f>IF($Y41="mobile",SUMIFS(Mobile_options!I:I,Mobile_options!$B:$B,$D41,Mobile_options!$E:$E,$G41),IF($Y41="nonpoint",SUMIFS(Nonpoint_options!I:I,Nonpoint_options!$B:$B,$D41,Nonpoint_options!$E:$E,$G41),SUMIFS(Point_options!I:I,Point_options!$B:$B,$D41,Point_options!$E:$E,$G41)))</f>
        <v>2.3619648756063221E-3</v>
      </c>
      <c r="L41" s="168">
        <f>IF($Y41="mobile",SUMIFS(Mobile_options!J:J,Mobile_options!$B:$B,$D41,Mobile_options!$E:$E,$G41),IF($Y41="nonpoint",SUMIFS(Nonpoint_options!J:J,Nonpoint_options!$B:$B,$D41,Nonpoint_options!$E:$E,$G41),SUMIFS(Point_options!J:J,Point_options!$B:$B,$D41,Point_options!$E:$E,$G41)))</f>
        <v>3470.5990072747491</v>
      </c>
      <c r="M41" s="92" t="s">
        <v>250</v>
      </c>
      <c r="N41" s="92" t="s">
        <v>250</v>
      </c>
      <c r="O41" s="92" t="s">
        <v>250</v>
      </c>
      <c r="P41" s="92" t="s">
        <v>250</v>
      </c>
      <c r="Q41" s="92" t="s">
        <v>251</v>
      </c>
      <c r="R41" s="92" t="s">
        <v>253</v>
      </c>
      <c r="S41" s="52" t="str">
        <f>IF(ISNA(VLOOKUP($D41,Mobile_state_reductions!$B$4:$X$114,23,FALSE))=TRUE,"",VLOOKUP($D41,Mobile_state_reductions!$B$4:$X$114,23,FALSE))</f>
        <v/>
      </c>
      <c r="T41" s="52" t="str">
        <f t="shared" si="3"/>
        <v>P - 58NOx</v>
      </c>
      <c r="U41" s="52">
        <f t="shared" si="4"/>
        <v>34</v>
      </c>
      <c r="V41" s="52" t="str">
        <f>IF(ISNA(VLOOKUP($D41,Nonpoint_state_reductions!$B$4:$X$108,23,FALSE))=TRUE,"",VLOOKUP($D41,Nonpoint_state_reductions!$B$4:$X$108,23,FALSE))</f>
        <v/>
      </c>
      <c r="W41" s="52" t="str">
        <f>IF(ISNA(VLOOKUP($D41,Point_state_reductions!$B$3:$X$117,23,FALSE)),"",VLOOKUP($D41,Point_state_reductions!$B$3:$X$117,23,FALSE))</f>
        <v>ILINMIMNOHWI</v>
      </c>
      <c r="Y41" s="185" t="str">
        <f>VLOOKUP(D41,EmissRed_Shortlist!$D$8:$V$111,19,FALSE)</f>
        <v>point</v>
      </c>
      <c r="Z41" s="201">
        <f t="shared" si="2"/>
        <v>34</v>
      </c>
    </row>
    <row r="42" spans="1:26" ht="14.4" x14ac:dyDescent="0.3">
      <c r="A42" s="92">
        <v>35</v>
      </c>
      <c r="B42" s="92">
        <f>VLOOKUP(D42,EmissRed_Shortlist!$D$8:$W$87,20,FALSE)</f>
        <v>45</v>
      </c>
      <c r="C42" s="153" t="str">
        <f>VLOOKUP(D42,Shortlist_xref!$A$5:$C$77,2,FALSE)</f>
        <v>CE</v>
      </c>
      <c r="D42" s="57" t="s">
        <v>170</v>
      </c>
      <c r="E42" s="58" t="s">
        <v>171</v>
      </c>
      <c r="F42" s="12" t="s">
        <v>333</v>
      </c>
      <c r="G42" s="57" t="s">
        <v>12</v>
      </c>
      <c r="H42" s="157">
        <f>IF($Y42="mobile",SUMIFS(Mobile_options!F:F,Mobile_options!$B:$B,$D42,Mobile_options!$E:$E,$G42),IF($Y42="nonpoint",SUMIFS(Nonpoint_options!F:F,Nonpoint_options!$B:$B,$D42,Nonpoint_options!$E:$E,$G42),SUMIFS(Point_options!F:F,Point_options!$B:$B,$D42,Point_options!$E:$E,$G42)))</f>
        <v>0.1</v>
      </c>
      <c r="I42" s="154">
        <f>IF($Y42="mobile",SUMIFS(Mobile_options!G:G,Mobile_options!$B:$B,$D42,Mobile_options!$E:$E,$G42),IF($Y42="nonpoint",SUMIFS(Nonpoint_options!G:G,Nonpoint_options!$B:$B,$D42,Nonpoint_options!$E:$E,$G42),SUMIFS(Point_options!G:G,Point_options!$B:$B,$D42,Point_options!$E:$E,$G42)))</f>
        <v>0.54</v>
      </c>
      <c r="J42" s="158" t="str">
        <f>IF(Y42="mobile",VLOOKUP($D42&amp;$G42,Mobile_options!$X$1:$Y$150,2,FALSE),IF(Y42="nonpoint",VLOOKUP($D42&amp;$G42,Nonpoint_options!$W$1:$X$150,2,FALSE),VLOOKUP($D42&amp;$G42,Point_options!$U$1:$V$150,2,FALSE)))</f>
        <v>$3,250/ ton NOx</v>
      </c>
      <c r="K42" s="159">
        <f>IF($Y42="mobile",SUMIFS(Mobile_options!I:I,Mobile_options!$B:$B,$D42,Mobile_options!$E:$E,$G42),IF($Y42="nonpoint",SUMIFS(Nonpoint_options!I:I,Nonpoint_options!$B:$B,$D42,Nonpoint_options!$E:$E,$G42),SUMIFS(Point_options!I:I,Point_options!$B:$B,$D42,Point_options!$E:$E,$G42)))</f>
        <v>1.2587324875620724E-2</v>
      </c>
      <c r="L42" s="168">
        <f>IF($Y42="mobile",SUMIFS(Mobile_options!J:J,Mobile_options!$B:$B,$D42,Mobile_options!$E:$E,$G42),IF($Y42="nonpoint",SUMIFS(Nonpoint_options!J:J,Nonpoint_options!$B:$B,$D42,Nonpoint_options!$E:$E,$G42),SUMIFS(Point_options!J:J,Point_options!$B:$B,$D42,Point_options!$E:$E,$G42)))</f>
        <v>728.83504459182609</v>
      </c>
      <c r="M42" s="92" t="s">
        <v>250</v>
      </c>
      <c r="N42" s="92" t="s">
        <v>250</v>
      </c>
      <c r="O42" s="92" t="s">
        <v>250</v>
      </c>
      <c r="P42" s="92" t="s">
        <v>250</v>
      </c>
      <c r="Q42" s="92" t="s">
        <v>251</v>
      </c>
      <c r="R42" s="92" t="s">
        <v>251</v>
      </c>
      <c r="S42" s="52" t="str">
        <f>IF(ISNA(VLOOKUP($D42,Mobile_state_reductions!$B$4:$X$114,23,FALSE))=TRUE,"",VLOOKUP($D42,Mobile_state_reductions!$B$4:$X$114,23,FALSE))</f>
        <v/>
      </c>
      <c r="T42" s="52" t="str">
        <f t="shared" si="3"/>
        <v>R-2NOx</v>
      </c>
      <c r="U42" s="52">
        <f t="shared" si="4"/>
        <v>35</v>
      </c>
      <c r="V42" s="52" t="str">
        <f>IF(ISNA(VLOOKUP($D42,Nonpoint_state_reductions!$B$4:$X$108,23,FALSE))=TRUE,"",VLOOKUP($D42,Nonpoint_state_reductions!$B$4:$X$108,23,FALSE))</f>
        <v/>
      </c>
      <c r="W42" s="52" t="str">
        <f>IF(ISNA(VLOOKUP($D42,Point_state_reductions!$B$3:$X$117,23,FALSE)),"",VLOOKUP($D42,Point_state_reductions!$B$3:$X$117,23,FALSE))</f>
        <v/>
      </c>
      <c r="Y42" s="185" t="str">
        <f>VLOOKUP(D42,EmissRed_Shortlist!$D$8:$V$111,19,FALSE)</f>
        <v>mobile</v>
      </c>
      <c r="Z42" s="201">
        <f t="shared" si="2"/>
        <v>35</v>
      </c>
    </row>
    <row r="43" spans="1:26" ht="14.4" x14ac:dyDescent="0.3">
      <c r="A43" s="92">
        <v>36</v>
      </c>
      <c r="B43" s="92">
        <f>VLOOKUP(D43,EmissRed_Shortlist!$D$8:$W$87,20,FALSE)</f>
        <v>61</v>
      </c>
      <c r="C43" s="153" t="str">
        <f>VLOOKUP(D43,Shortlist_xref!$A$5:$C$77,2,FALSE)</f>
        <v>CE</v>
      </c>
      <c r="D43" s="57" t="s">
        <v>172</v>
      </c>
      <c r="E43" s="58" t="s">
        <v>171</v>
      </c>
      <c r="F43" s="12" t="s">
        <v>336</v>
      </c>
      <c r="G43" s="57" t="s">
        <v>12</v>
      </c>
      <c r="H43" s="157">
        <f>IF($Y43="mobile",SUMIFS(Mobile_options!F:F,Mobile_options!$B:$B,$D43,Mobile_options!$E:$E,$G43),IF($Y43="nonpoint",SUMIFS(Nonpoint_options!F:F,Nonpoint_options!$B:$B,$D43,Nonpoint_options!$E:$E,$G43),SUMIFS(Point_options!F:F,Point_options!$B:$B,$D43,Point_options!$E:$E,$G43)))</f>
        <v>0.1</v>
      </c>
      <c r="I43" s="154">
        <f>IF($Y43="mobile",SUMIFS(Mobile_options!G:G,Mobile_options!$B:$B,$D43,Mobile_options!$E:$E,$G43),IF($Y43="nonpoint",SUMIFS(Nonpoint_options!G:G,Nonpoint_options!$B:$B,$D43,Nonpoint_options!$E:$E,$G43),SUMIFS(Point_options!G:G,Point_options!$B:$B,$D43,Point_options!$E:$E,$G43)))</f>
        <v>0.1125</v>
      </c>
      <c r="J43" s="158" t="str">
        <f>IF(Y43="mobile",VLOOKUP($D43&amp;$G43,Mobile_options!$X$1:$Y$150,2,FALSE),IF(Y43="nonpoint",VLOOKUP($D43&amp;$G43,Nonpoint_options!$W$1:$X$150,2,FALSE),VLOOKUP($D43&amp;$G43,Point_options!$U$1:$V$150,2,FALSE)))</f>
        <v>$3,250/ ton NOx</v>
      </c>
      <c r="K43" s="159">
        <f>IF($Y43="mobile",SUMIFS(Mobile_options!I:I,Mobile_options!$B:$B,$D43,Mobile_options!$E:$E,$G43),IF($Y43="nonpoint",SUMIFS(Nonpoint_options!I:I,Nonpoint_options!$B:$B,$D43,Nonpoint_options!$E:$E,$G43),SUMIFS(Point_options!I:I,Point_options!$B:$B,$D43,Point_options!$E:$E,$G43)))</f>
        <v>1.0139128401772168E-2</v>
      </c>
      <c r="L43" s="168">
        <f>IF($Y43="mobile",SUMIFS(Mobile_options!J:J,Mobile_options!$B:$B,$D43,Mobile_options!$E:$E,$G43),IF($Y43="nonpoint",SUMIFS(Nonpoint_options!J:J,Nonpoint_options!$B:$B,$D43,Nonpoint_options!$E:$E,$G43),SUMIFS(Point_options!J:J,Point_options!$B:$B,$D43,Point_options!$E:$E,$G43)))</f>
        <v>122.30809190078625</v>
      </c>
      <c r="M43" s="92" t="s">
        <v>250</v>
      </c>
      <c r="N43" s="92" t="s">
        <v>250</v>
      </c>
      <c r="O43" s="92" t="s">
        <v>250</v>
      </c>
      <c r="P43" s="92" t="s">
        <v>250</v>
      </c>
      <c r="Q43" s="92" t="s">
        <v>251</v>
      </c>
      <c r="R43" s="92" t="s">
        <v>251</v>
      </c>
      <c r="S43" s="52" t="str">
        <f>IF(ISNA(VLOOKUP($D43,Mobile_state_reductions!$B$4:$X$114,23,FALSE))=TRUE,"",VLOOKUP($D43,Mobile_state_reductions!$B$4:$X$114,23,FALSE))</f>
        <v/>
      </c>
      <c r="T43" s="52" t="str">
        <f t="shared" si="3"/>
        <v>R-4NOx</v>
      </c>
      <c r="U43" s="52">
        <f t="shared" si="4"/>
        <v>36</v>
      </c>
      <c r="V43" s="52" t="str">
        <f>IF(ISNA(VLOOKUP($D43,Nonpoint_state_reductions!$B$4:$X$108,23,FALSE))=TRUE,"",VLOOKUP($D43,Nonpoint_state_reductions!$B$4:$X$108,23,FALSE))</f>
        <v/>
      </c>
      <c r="W43" s="52" t="str">
        <f>IF(ISNA(VLOOKUP($D43,Point_state_reductions!$B$3:$X$117,23,FALSE)),"",VLOOKUP($D43,Point_state_reductions!$B$3:$X$117,23,FALSE))</f>
        <v/>
      </c>
      <c r="Y43" s="185" t="str">
        <f>VLOOKUP(D43,EmissRed_Shortlist!$D$8:$V$111,19,FALSE)</f>
        <v>mobile</v>
      </c>
      <c r="Z43" s="201">
        <f t="shared" si="2"/>
        <v>36</v>
      </c>
    </row>
    <row r="44" spans="1:26" ht="14.4" x14ac:dyDescent="0.3">
      <c r="A44" s="92">
        <v>37</v>
      </c>
      <c r="B44" s="92">
        <f>VLOOKUP(D44,EmissRed_Shortlist!$D$8:$W$87,20,FALSE)</f>
        <v>72</v>
      </c>
      <c r="C44" s="153" t="str">
        <f>VLOOKUP(D44,Shortlist_xref!$A$5:$C$77,2,FALSE)</f>
        <v>CE</v>
      </c>
      <c r="D44" s="57" t="s">
        <v>200</v>
      </c>
      <c r="E44" s="58" t="s">
        <v>145</v>
      </c>
      <c r="F44" s="12" t="s">
        <v>212</v>
      </c>
      <c r="G44" s="57" t="s">
        <v>12</v>
      </c>
      <c r="H44" s="157">
        <f>IF($Y44="mobile",SUMIFS(Mobile_options!F:F,Mobile_options!$B:$B,$D44,Mobile_options!$E:$E,$G44),IF($Y44="nonpoint",SUMIFS(Nonpoint_options!F:F,Nonpoint_options!$B:$B,$D44,Nonpoint_options!$E:$E,$G44),SUMIFS(Point_options!F:F,Point_options!$B:$B,$D44,Point_options!$E:$E,$G44)))</f>
        <v>0.01</v>
      </c>
      <c r="I44" s="154">
        <f>IF($Y44="mobile",SUMIFS(Mobile_options!G:G,Mobile_options!$B:$B,$D44,Mobile_options!$E:$E,$G44),IF($Y44="nonpoint",SUMIFS(Nonpoint_options!G:G,Nonpoint_options!$B:$B,$D44,Nonpoint_options!$E:$E,$G44),SUMIFS(Point_options!G:G,Point_options!$B:$B,$D44,Point_options!$E:$E,$G44)))</f>
        <v>0.02</v>
      </c>
      <c r="J44" s="158" t="str">
        <f>IF(Y44="mobile",VLOOKUP($D44&amp;$G44,Mobile_options!$X$1:$Y$150,2,FALSE),IF(Y44="nonpoint",VLOOKUP($D44&amp;$G44,Nonpoint_options!$W$1:$X$150,2,FALSE),VLOOKUP($D44&amp;$G44,Point_options!$U$1:$V$150,2,FALSE)))</f>
        <v>$3,613/ton NOx</v>
      </c>
      <c r="K44" s="159">
        <f>IF($Y44="mobile",SUMIFS(Mobile_options!I:I,Mobile_options!$B:$B,$D44,Mobile_options!$E:$E,$G44),IF($Y44="nonpoint",SUMIFS(Nonpoint_options!I:I,Nonpoint_options!$B:$B,$D44,Nonpoint_options!$E:$E,$G44),SUMIFS(Point_options!I:I,Point_options!$B:$B,$D44,Point_options!$E:$E,$G44)))</f>
        <v>9.2663878861477839E-2</v>
      </c>
      <c r="L44" s="168">
        <f>IF($Y44="mobile",SUMIFS(Mobile_options!J:J,Mobile_options!$B:$B,$D44,Mobile_options!$E:$E,$G44),IF($Y44="nonpoint",SUMIFS(Nonpoint_options!J:J,Nonpoint_options!$B:$B,$D44,Nonpoint_options!$E:$E,$G44),SUMIFS(Point_options!J:J,Point_options!$B:$B,$D44,Point_options!$E:$E,$G44)))</f>
        <v>19.872042930136804</v>
      </c>
      <c r="M44" s="92" t="s">
        <v>250</v>
      </c>
      <c r="N44" s="92" t="s">
        <v>250</v>
      </c>
      <c r="O44" s="92" t="s">
        <v>250</v>
      </c>
      <c r="P44" s="92" t="s">
        <v>250</v>
      </c>
      <c r="Q44" s="92" t="s">
        <v>253</v>
      </c>
      <c r="R44" s="92" t="s">
        <v>251</v>
      </c>
      <c r="S44" s="52" t="str">
        <f>IF(ISNA(VLOOKUP($D44,Mobile_state_reductions!$B$4:$X$114,23,FALSE))=TRUE,"",VLOOKUP($D44,Mobile_state_reductions!$B$4:$X$114,23,FALSE))</f>
        <v>ILINMIMNOHWI</v>
      </c>
      <c r="T44" s="52" t="str">
        <f t="shared" si="3"/>
        <v>O-1NOx</v>
      </c>
      <c r="U44" s="52">
        <f t="shared" si="4"/>
        <v>37</v>
      </c>
      <c r="V44" s="52" t="str">
        <f>IF(ISNA(VLOOKUP($D44,Nonpoint_state_reductions!$B$4:$X$108,23,FALSE))=TRUE,"",VLOOKUP($D44,Nonpoint_state_reductions!$B$4:$X$108,23,FALSE))</f>
        <v/>
      </c>
      <c r="W44" s="52" t="str">
        <f>IF(ISNA(VLOOKUP($D44,Point_state_reductions!$B$3:$X$117,23,FALSE)),"",VLOOKUP($D44,Point_state_reductions!$B$3:$X$117,23,FALSE))</f>
        <v/>
      </c>
      <c r="Y44" s="185" t="str">
        <f>VLOOKUP(D44,EmissRed_Shortlist!$D$8:$V$111,19,FALSE)</f>
        <v>mobile</v>
      </c>
      <c r="Z44" s="201">
        <f t="shared" si="2"/>
        <v>37</v>
      </c>
    </row>
    <row r="45" spans="1:26" ht="14.4" x14ac:dyDescent="0.3">
      <c r="A45" s="92">
        <v>38</v>
      </c>
      <c r="B45" s="92">
        <f>VLOOKUP(D45,EmissRed_Shortlist!$D$8:$W$87,20,FALSE)</f>
        <v>2</v>
      </c>
      <c r="C45" s="153" t="str">
        <f>VLOOKUP(D45,Shortlist_xref!$A$5:$C$77,2,FALSE)</f>
        <v>EmissRed</v>
      </c>
      <c r="D45" s="3" t="s">
        <v>152</v>
      </c>
      <c r="E45" s="5" t="s">
        <v>153</v>
      </c>
      <c r="F45" s="5" t="s">
        <v>154</v>
      </c>
      <c r="G45" s="3" t="s">
        <v>12</v>
      </c>
      <c r="H45" s="157">
        <f>IF($Y45="mobile",SUMIFS(Mobile_options!F:F,Mobile_options!$B:$B,$D45,Mobile_options!$E:$E,$G45),IF($Y45="nonpoint",SUMIFS(Nonpoint_options!F:F,Nonpoint_options!$B:$B,$D45,Nonpoint_options!$E:$E,$G45),SUMIFS(Point_options!F:F,Point_options!$B:$B,$D45,Point_options!$E:$E,$G45)))</f>
        <v>0.5</v>
      </c>
      <c r="I45" s="154">
        <f>IF($Y45="mobile",SUMIFS(Mobile_options!G:G,Mobile_options!$B:$B,$D45,Mobile_options!$E:$E,$G45),IF($Y45="nonpoint",SUMIFS(Nonpoint_options!G:G,Nonpoint_options!$B:$B,$D45,Nonpoint_options!$E:$E,$G45),SUMIFS(Point_options!G:G,Point_options!$B:$B,$D45,Point_options!$E:$E,$G45)))</f>
        <v>0.25</v>
      </c>
      <c r="J45" s="158" t="str">
        <f>IF(Y45="mobile",VLOOKUP($D45&amp;$G45,Mobile_options!$X$1:$Y$150,2,FALSE),IF(Y45="nonpoint",VLOOKUP($D45&amp;$G45,Nonpoint_options!$W$1:$X$150,2,FALSE),VLOOKUP($D45&amp;$G45,Point_options!$U$1:$V$150,2,FALSE)))</f>
        <v>$3,822/ ton NOx</v>
      </c>
      <c r="K45" s="159">
        <f>IF($Y45="mobile",SUMIFS(Mobile_options!I:I,Mobile_options!$B:$B,$D45,Mobile_options!$E:$E,$G45),IF($Y45="nonpoint",SUMIFS(Nonpoint_options!I:I,Nonpoint_options!$B:$B,$D45,Nonpoint_options!$E:$E,$G45),SUMIFS(Point_options!I:I,Point_options!$B:$B,$D45,Point_options!$E:$E,$G45)))</f>
        <v>7.6929467630081974E-2</v>
      </c>
      <c r="L45" s="168">
        <f>IF($Y45="mobile",SUMIFS(Mobile_options!J:J,Mobile_options!$B:$B,$D45,Mobile_options!$E:$E,$G45),IF($Y45="nonpoint",SUMIFS(Nonpoint_options!J:J,Nonpoint_options!$B:$B,$D45,Nonpoint_options!$E:$E,$G45),SUMIFS(Point_options!J:J,Point_options!$B:$B,$D45,Point_options!$E:$E,$G45)))</f>
        <v>10311.094936078483</v>
      </c>
      <c r="M45" s="92" t="s">
        <v>250</v>
      </c>
      <c r="N45" s="92" t="s">
        <v>250</v>
      </c>
      <c r="O45" s="92" t="s">
        <v>250</v>
      </c>
      <c r="P45" s="92" t="s">
        <v>250</v>
      </c>
      <c r="Q45" s="92" t="s">
        <v>251</v>
      </c>
      <c r="R45" s="92" t="s">
        <v>253</v>
      </c>
      <c r="S45" s="52" t="str">
        <f>IF(ISNA(VLOOKUP($D45,Mobile_state_reductions!$B$4:$X$114,23,FALSE))=TRUE,"",VLOOKUP($D45,Mobile_state_reductions!$B$4:$X$114,23,FALSE))</f>
        <v/>
      </c>
      <c r="T45" s="52" t="str">
        <f t="shared" si="3"/>
        <v>O-11NOx</v>
      </c>
      <c r="U45" s="52">
        <f t="shared" si="4"/>
        <v>38</v>
      </c>
      <c r="V45" s="52" t="str">
        <f>IF(ISNA(VLOOKUP($D45,Nonpoint_state_reductions!$B$4:$X$108,23,FALSE))=TRUE,"",VLOOKUP($D45,Nonpoint_state_reductions!$B$4:$X$108,23,FALSE))</f>
        <v/>
      </c>
      <c r="W45" s="52" t="str">
        <f>IF(ISNA(VLOOKUP($D45,Point_state_reductions!$B$3:$X$117,23,FALSE)),"",VLOOKUP($D45,Point_state_reductions!$B$3:$X$117,23,FALSE))</f>
        <v/>
      </c>
      <c r="Y45" s="185" t="str">
        <f>VLOOKUP(D45,EmissRed_Shortlist!$D$8:$V$111,19,FALSE)</f>
        <v>mobile</v>
      </c>
      <c r="Z45" s="201">
        <f t="shared" si="2"/>
        <v>38</v>
      </c>
    </row>
    <row r="46" spans="1:26" ht="14.4" x14ac:dyDescent="0.3">
      <c r="A46" s="92">
        <v>39</v>
      </c>
      <c r="B46" s="92">
        <f>VLOOKUP(D46,EmissRed_Shortlist!$D$8:$W$87,20,FALSE)</f>
        <v>48</v>
      </c>
      <c r="C46" s="153" t="str">
        <f>VLOOKUP(D46,Shortlist_xref!$A$5:$C$77,2,FALSE)</f>
        <v>R-Select</v>
      </c>
      <c r="D46" s="3" t="s">
        <v>36</v>
      </c>
      <c r="E46" s="5" t="s">
        <v>334</v>
      </c>
      <c r="F46" s="5" t="s">
        <v>21</v>
      </c>
      <c r="G46" s="3" t="s">
        <v>12</v>
      </c>
      <c r="H46" s="157">
        <f>IF($Y46="mobile",SUMIFS(Mobile_options!F:F,Mobile_options!$B:$B,$D46,Mobile_options!$E:$E,$G46),IF($Y46="nonpoint",SUMIFS(Nonpoint_options!F:F,Nonpoint_options!$B:$B,$D46,Nonpoint_options!$E:$E,$G46),SUMIFS(Point_options!F:F,Point_options!$B:$B,$D46,Point_options!$E:$E,$G46)))</f>
        <v>0.1</v>
      </c>
      <c r="I46" s="154">
        <f>IF($Y46="mobile",SUMIFS(Mobile_options!G:G,Mobile_options!$B:$B,$D46,Mobile_options!$E:$E,$G46),IF($Y46="nonpoint",SUMIFS(Nonpoint_options!G:G,Nonpoint_options!$B:$B,$D46,Nonpoint_options!$E:$E,$G46),SUMIFS(Point_options!G:G,Point_options!$B:$B,$D46,Point_options!$E:$E,$G46)))</f>
        <v>0.85</v>
      </c>
      <c r="J46" s="158">
        <f>IF(Y46="mobile",VLOOKUP($D46&amp;$G46,Mobile_options!$X$1:$Y$150,2,FALSE),IF(Y46="nonpoint",VLOOKUP($D46&amp;$G46,Nonpoint_options!$W$1:$X$150,2,FALSE),VLOOKUP($D46&amp;$G46,Point_options!$U$1:$V$150,2,FALSE)))</f>
        <v>3388</v>
      </c>
      <c r="K46" s="159">
        <f>IF($Y46="mobile",SUMIFS(Mobile_options!I:I,Mobile_options!$B:$B,$D46,Mobile_options!$E:$E,$G46),IF($Y46="nonpoint",SUMIFS(Nonpoint_options!I:I,Nonpoint_options!$B:$B,$D46,Nonpoint_options!$E:$E,$G46),SUMIFS(Point_options!I:I,Point_options!$B:$B,$D46,Point_options!$E:$E,$G46)))</f>
        <v>1.9843960412402099E-5</v>
      </c>
      <c r="L46" s="168">
        <f>IF($Y46="mobile",SUMIFS(Mobile_options!J:J,Mobile_options!$B:$B,$D46,Mobile_options!$E:$E,$G46),IF($Y46="nonpoint",SUMIFS(Nonpoint_options!J:J,Nonpoint_options!$B:$B,$D46,Nonpoint_options!$E:$E,$G46),SUMIFS(Point_options!J:J,Point_options!$B:$B,$D46,Point_options!$E:$E,$G46)))</f>
        <v>267.747365</v>
      </c>
      <c r="M46" s="92" t="s">
        <v>250</v>
      </c>
      <c r="N46" s="92" t="s">
        <v>250</v>
      </c>
      <c r="O46" s="92" t="s">
        <v>263</v>
      </c>
      <c r="P46" s="92" t="s">
        <v>250</v>
      </c>
      <c r="Q46" s="92" t="s">
        <v>251</v>
      </c>
      <c r="R46" s="92" t="s">
        <v>251</v>
      </c>
      <c r="S46" s="52" t="str">
        <f>IF(ISNA(VLOOKUP($D46,Mobile_state_reductions!$B$4:$X$114,23,FALSE))=TRUE,"",VLOOKUP($D46,Mobile_state_reductions!$B$4:$X$114,23,FALSE))</f>
        <v/>
      </c>
      <c r="T46" s="52" t="str">
        <f t="shared" si="3"/>
        <v>P - 25NOx</v>
      </c>
      <c r="U46" s="52">
        <f t="shared" si="4"/>
        <v>39</v>
      </c>
      <c r="V46" s="52" t="str">
        <f>IF(ISNA(VLOOKUP($D46,Nonpoint_state_reductions!$B$4:$X$108,23,FALSE))=TRUE,"",VLOOKUP($D46,Nonpoint_state_reductions!$B$4:$X$108,23,FALSE))</f>
        <v/>
      </c>
      <c r="W46" s="52" t="str">
        <f>IF(ISNA(VLOOKUP($D46,Point_state_reductions!$B$3:$X$117,23,FALSE)),"",VLOOKUP($D46,Point_state_reductions!$B$3:$X$117,23,FALSE))</f>
        <v>ILINMIMNOHWI</v>
      </c>
      <c r="Y46" s="185" t="str">
        <f>VLOOKUP(D46,EmissRed_Shortlist!$D$8:$V$111,19,FALSE)</f>
        <v>point</v>
      </c>
      <c r="Z46" s="201">
        <f t="shared" si="2"/>
        <v>39</v>
      </c>
    </row>
    <row r="47" spans="1:26" ht="24.2" x14ac:dyDescent="0.3">
      <c r="A47" s="92">
        <v>40</v>
      </c>
      <c r="B47" s="92">
        <f>VLOOKUP(D47,EmissRed_Shortlist!$D$8:$W$87,20,FALSE)</f>
        <v>1</v>
      </c>
      <c r="C47" s="153" t="str">
        <f>VLOOKUP(D47,Shortlist_xref!$A$5:$C$77,2,FALSE)</f>
        <v>EmissRed</v>
      </c>
      <c r="D47" s="57" t="s">
        <v>102</v>
      </c>
      <c r="E47" s="58" t="s">
        <v>103</v>
      </c>
      <c r="F47" s="12" t="s">
        <v>104</v>
      </c>
      <c r="G47" s="57" t="s">
        <v>53</v>
      </c>
      <c r="H47" s="157">
        <f>IF($Y47="mobile",SUMIFS(Mobile_options!F:F,Mobile_options!$B:$B,$D47,Mobile_options!$E:$E,$G47),IF($Y47="nonpoint",SUMIFS(Nonpoint_options!F:F,Nonpoint_options!$B:$B,$D47,Nonpoint_options!$E:$E,$G47),SUMIFS(Point_options!F:F,Point_options!$B:$B,$D47,Point_options!$E:$E,$G47)))</f>
        <v>0.1</v>
      </c>
      <c r="I47" s="154">
        <f>IF($Y47="mobile",SUMIFS(Mobile_options!G:G,Mobile_options!$B:$B,$D47,Mobile_options!$E:$E,$G47),IF($Y47="nonpoint",SUMIFS(Nonpoint_options!G:G,Nonpoint_options!$B:$B,$D47,Nonpoint_options!$E:$E,$G47),SUMIFS(Point_options!G:G,Point_options!$B:$B,$D47,Point_options!$E:$E,$G47)))</f>
        <v>0.5</v>
      </c>
      <c r="J47" s="158">
        <f>IF(Y47="mobile",VLOOKUP($D47&amp;$G47,Mobile_options!$X$1:$Y$150,2,FALSE),IF(Y47="nonpoint",VLOOKUP($D47&amp;$G47,Nonpoint_options!$W$1:$X$150,2,FALSE),VLOOKUP($D47&amp;$G47,Point_options!$U$1:$V$150,2,FALSE)))</f>
        <v>3498</v>
      </c>
      <c r="K47" s="159">
        <f>IF($Y47="mobile",SUMIFS(Mobile_options!I:I,Mobile_options!$B:$B,$D47,Mobile_options!$E:$E,$G47),IF($Y47="nonpoint",SUMIFS(Nonpoint_options!I:I,Nonpoint_options!$B:$B,$D47,Nonpoint_options!$E:$E,$G47),SUMIFS(Point_options!I:I,Point_options!$B:$B,$D47,Point_options!$E:$E,$G47)))</f>
        <v>0.16138265066447427</v>
      </c>
      <c r="L47" s="168">
        <f>IF($Y47="mobile",SUMIFS(Mobile_options!J:J,Mobile_options!$B:$B,$D47,Mobile_options!$E:$E,$G47),IF($Y47="nonpoint",SUMIFS(Nonpoint_options!J:J,Nonpoint_options!$B:$B,$D47,Nonpoint_options!$E:$E,$G47),SUMIFS(Point_options!J:J,Point_options!$B:$B,$D47,Point_options!$E:$E,$G47)))</f>
        <v>12173.097943415489</v>
      </c>
      <c r="M47" s="92" t="s">
        <v>250</v>
      </c>
      <c r="N47" s="92" t="s">
        <v>250</v>
      </c>
      <c r="O47" s="92" t="s">
        <v>264</v>
      </c>
      <c r="P47" s="92" t="s">
        <v>250</v>
      </c>
      <c r="Q47" s="92" t="s">
        <v>253</v>
      </c>
      <c r="R47" s="92" t="s">
        <v>253</v>
      </c>
      <c r="S47" s="52" t="str">
        <f>IF(ISNA(VLOOKUP($D47,Mobile_state_reductions!$B$4:$X$114,23,FALSE))=TRUE,"",VLOOKUP($D47,Mobile_state_reductions!$B$4:$X$114,23,FALSE))</f>
        <v/>
      </c>
      <c r="T47" s="52" t="str">
        <f t="shared" si="3"/>
        <v>NP - 26VOC</v>
      </c>
      <c r="U47" s="52">
        <f t="shared" si="4"/>
        <v>40</v>
      </c>
      <c r="V47" s="52" t="str">
        <f>IF(ISNA(VLOOKUP($D47,Nonpoint_state_reductions!$B$4:$X$108,23,FALSE))=TRUE,"",VLOOKUP($D47,Nonpoint_state_reductions!$B$4:$X$108,23,FALSE))</f>
        <v>ILINMIMNOH</v>
      </c>
      <c r="W47" s="52" t="str">
        <f>IF(ISNA(VLOOKUP($D47,Point_state_reductions!$B$3:$X$117,23,FALSE)),"",VLOOKUP($D47,Point_state_reductions!$B$3:$X$117,23,FALSE))</f>
        <v/>
      </c>
      <c r="Y47" s="185" t="str">
        <f>VLOOKUP(D47,EmissRed_Shortlist!$D$8:$V$111,19,FALSE)</f>
        <v>nonpoint</v>
      </c>
      <c r="Z47" s="201">
        <f t="shared" si="2"/>
        <v>40</v>
      </c>
    </row>
    <row r="48" spans="1:26" ht="14.4" x14ac:dyDescent="0.3">
      <c r="A48" s="166">
        <v>41</v>
      </c>
      <c r="B48" s="166">
        <f>VLOOKUP(D48,EmissRed_Shortlist!$D$8:$W$87,20,FALSE)</f>
        <v>14</v>
      </c>
      <c r="C48" s="160" t="str">
        <f>VLOOKUP(D48,Shortlist_xref!$A$5:$C$77,2,FALSE)</f>
        <v>EmissRed</v>
      </c>
      <c r="D48" s="113" t="s">
        <v>313</v>
      </c>
      <c r="E48" s="114" t="s">
        <v>20</v>
      </c>
      <c r="F48" s="114" t="s">
        <v>21</v>
      </c>
      <c r="G48" s="113" t="s">
        <v>12</v>
      </c>
      <c r="H48" s="161">
        <f>IF($Y48="mobile",SUMIFS(Mobile_options!F:F,Mobile_options!$B:$B,$D48,Mobile_options!$E:$E,$G48),IF($Y48="nonpoint",SUMIFS(Nonpoint_options!F:F,Nonpoint_options!$B:$B,$D48,Nonpoint_options!$E:$E,$G48),SUMIFS(Point_options!F:F,Point_options!$B:$B,$D48,Point_options!$E:$E,$G48)))</f>
        <v>0.1</v>
      </c>
      <c r="I48" s="162">
        <f>IF($Y48="mobile",SUMIFS(Mobile_options!G:G,Mobile_options!$B:$B,$D48,Mobile_options!$E:$E,$G48),IF($Y48="nonpoint",SUMIFS(Nonpoint_options!G:G,Nonpoint_options!$B:$B,$D48,Nonpoint_options!$E:$E,$G48),SUMIFS(Point_options!G:G,Point_options!$B:$B,$D48,Point_options!$E:$E,$G48)))</f>
        <v>0.85</v>
      </c>
      <c r="J48" s="163">
        <f>IF(Y48="mobile",VLOOKUP($D48&amp;$G48,Mobile_options!$X$1:$Y$150,2,FALSE),IF(Y48="nonpoint",VLOOKUP($D48&amp;$G48,Nonpoint_options!$W$1:$X$150,2,FALSE),VLOOKUP($D48&amp;$G48,Point_options!$U$1:$V$150,2,FALSE)))</f>
        <v>3500</v>
      </c>
      <c r="K48" s="164">
        <f>IF($Y48="mobile",SUMIFS(Mobile_options!I:I,Mobile_options!$B:$B,$D48,Mobile_options!$E:$E,$G48),IF($Y48="nonpoint",SUMIFS(Nonpoint_options!I:I,Nonpoint_options!$B:$B,$D48,Nonpoint_options!$E:$E,$G48),SUMIFS(Point_options!I:I,Point_options!$B:$B,$D48,Point_options!$E:$E,$G48)))</f>
        <v>6.2039100031798411E-4</v>
      </c>
      <c r="L48" s="169">
        <f>IF($Y48="mobile",SUMIFS(Mobile_options!J:J,Mobile_options!$B:$B,$D48,Mobile_options!$E:$E,$G48),IF($Y48="nonpoint",SUMIFS(Nonpoint_options!J:J,Nonpoint_options!$B:$B,$D48,Nonpoint_options!$E:$E,$G48),SUMIFS(Point_options!J:J,Point_options!$B:$B,$D48,Point_options!$E:$E,$G48)))</f>
        <v>4754.1648938735507</v>
      </c>
      <c r="M48" s="166" t="s">
        <v>250</v>
      </c>
      <c r="N48" s="166" t="s">
        <v>250</v>
      </c>
      <c r="O48" s="166" t="s">
        <v>263</v>
      </c>
      <c r="P48" s="166" t="s">
        <v>250</v>
      </c>
      <c r="Q48" s="166" t="s">
        <v>251</v>
      </c>
      <c r="R48" s="166" t="s">
        <v>251</v>
      </c>
      <c r="S48" s="52" t="str">
        <f>IF(ISNA(VLOOKUP($D48,Mobile_state_reductions!$B$4:$X$114,23,FALSE))=TRUE,"",VLOOKUP($D48,Mobile_state_reductions!$B$4:$X$114,23,FALSE))</f>
        <v/>
      </c>
      <c r="T48" s="52" t="str">
        <f t="shared" si="3"/>
        <v>P - 11NOx</v>
      </c>
      <c r="U48" s="52">
        <f t="shared" si="4"/>
        <v>41</v>
      </c>
      <c r="V48" s="52" t="str">
        <f>IF(ISNA(VLOOKUP($D48,Nonpoint_state_reductions!$B$4:$X$108,23,FALSE))=TRUE,"",VLOOKUP($D48,Nonpoint_state_reductions!$B$4:$X$108,23,FALSE))</f>
        <v/>
      </c>
      <c r="W48" s="52" t="str">
        <f>IF(ISNA(VLOOKUP($D48,Point_state_reductions!$B$3:$X$117,23,FALSE)),"",VLOOKUP($D48,Point_state_reductions!$B$3:$X$117,23,FALSE))</f>
        <v>ILINMIOHWI</v>
      </c>
      <c r="Y48" s="185" t="str">
        <f>VLOOKUP(D48,EmissRed_Shortlist!$D$8:$V$111,19,FALSE)</f>
        <v>point</v>
      </c>
      <c r="Z48" s="201">
        <f t="shared" si="2"/>
        <v>41</v>
      </c>
    </row>
    <row r="49" spans="1:26" ht="14.4" x14ac:dyDescent="0.3">
      <c r="A49" s="92">
        <v>42</v>
      </c>
      <c r="B49" s="92">
        <f>VLOOKUP(D49,EmissRed_Shortlist!$D$8:$W$87,20,FALSE)</f>
        <v>38</v>
      </c>
      <c r="C49" s="153" t="str">
        <f>VLOOKUP(D49,Shortlist_xref!$A$5:$C$77,2,FALSE)</f>
        <v>CE</v>
      </c>
      <c r="D49" s="57" t="s">
        <v>193</v>
      </c>
      <c r="E49" s="58" t="s">
        <v>194</v>
      </c>
      <c r="F49" s="12" t="s">
        <v>195</v>
      </c>
      <c r="G49" s="57" t="s">
        <v>12</v>
      </c>
      <c r="H49" s="157">
        <f>IF($Y49="mobile",SUMIFS(Mobile_options!F:F,Mobile_options!$B:$B,$D49,Mobile_options!$E:$E,$G49),IF($Y49="nonpoint",SUMIFS(Nonpoint_options!F:F,Nonpoint_options!$B:$B,$D49,Nonpoint_options!$E:$E,$G49),SUMIFS(Point_options!F:F,Point_options!$B:$B,$D49,Point_options!$E:$E,$G49)))</f>
        <v>0.02</v>
      </c>
      <c r="I49" s="154">
        <f>IF($Y49="mobile",SUMIFS(Mobile_options!G:G,Mobile_options!$B:$B,$D49,Mobile_options!$E:$E,$G49),IF($Y49="nonpoint",SUMIFS(Nonpoint_options!G:G,Nonpoint_options!$B:$B,$D49,Nonpoint_options!$E:$E,$G49),SUMIFS(Point_options!G:G,Point_options!$B:$B,$D49,Point_options!$E:$E,$G49)))</f>
        <v>0.8</v>
      </c>
      <c r="J49" s="158" t="str">
        <f>IF(Y49="mobile",VLOOKUP($D49&amp;$G49,Mobile_options!$X$1:$Y$150,2,FALSE),IF(Y49="nonpoint",VLOOKUP($D49&amp;$G49,Nonpoint_options!$W$1:$X$150,2,FALSE),VLOOKUP($D49&amp;$G49,Point_options!$U$1:$V$150,2,FALSE)))</f>
        <v>$2,900 - 4,600/ton NOx</v>
      </c>
      <c r="K49" s="159">
        <f>IF($Y49="mobile",SUMIFS(Mobile_options!I:I,Mobile_options!$B:$B,$D49,Mobile_options!$E:$E,$G49),IF($Y49="nonpoint",SUMIFS(Nonpoint_options!I:I,Nonpoint_options!$B:$B,$D49,Nonpoint_options!$E:$E,$G49),SUMIFS(Point_options!I:I,Point_options!$B:$B,$D49,Point_options!$E:$E,$G49)))</f>
        <v>8.1254675933272277E-2</v>
      </c>
      <c r="L49" s="168">
        <f>IF($Y49="mobile",SUMIFS(Mobile_options!J:J,Mobile_options!$B:$B,$D49,Mobile_options!$E:$E,$G49),IF($Y49="nonpoint",SUMIFS(Nonpoint_options!J:J,Nonpoint_options!$B:$B,$D49,Nonpoint_options!$E:$E,$G49),SUMIFS(Point_options!J:J,Point_options!$B:$B,$D49,Point_options!$E:$E,$G49)))</f>
        <v>1394.0244490167577</v>
      </c>
      <c r="M49" s="92" t="s">
        <v>250</v>
      </c>
      <c r="N49" s="92" t="s">
        <v>250</v>
      </c>
      <c r="O49" s="92" t="s">
        <v>250</v>
      </c>
      <c r="P49" s="92" t="s">
        <v>250</v>
      </c>
      <c r="Q49" s="92" t="s">
        <v>251</v>
      </c>
      <c r="R49" s="92" t="s">
        <v>253</v>
      </c>
      <c r="S49" s="52" t="str">
        <f>IF(ISNA(VLOOKUP($D49,Mobile_state_reductions!$B$4:$X$114,23,FALSE))=TRUE,"",VLOOKUP($D49,Mobile_state_reductions!$B$4:$X$114,23,FALSE))</f>
        <v/>
      </c>
      <c r="T49" s="52" t="str">
        <f t="shared" si="3"/>
        <v>O-41NOx</v>
      </c>
      <c r="U49" s="52">
        <f t="shared" si="4"/>
        <v>42</v>
      </c>
      <c r="V49" s="52" t="str">
        <f>IF(ISNA(VLOOKUP($D49,Nonpoint_state_reductions!$B$4:$X$108,23,FALSE))=TRUE,"",VLOOKUP($D49,Nonpoint_state_reductions!$B$4:$X$108,23,FALSE))</f>
        <v/>
      </c>
      <c r="W49" s="52" t="str">
        <f>IF(ISNA(VLOOKUP($D49,Point_state_reductions!$B$3:$X$117,23,FALSE)),"",VLOOKUP($D49,Point_state_reductions!$B$3:$X$117,23,FALSE))</f>
        <v/>
      </c>
      <c r="Y49" s="185" t="str">
        <f>VLOOKUP(D49,EmissRed_Shortlist!$D$8:$V$111,19,FALSE)</f>
        <v>mobile</v>
      </c>
      <c r="Z49" s="201">
        <f t="shared" si="2"/>
        <v>42</v>
      </c>
    </row>
    <row r="50" spans="1:26" ht="14.4" x14ac:dyDescent="0.3">
      <c r="A50" s="92">
        <v>43</v>
      </c>
      <c r="B50" s="92">
        <f>VLOOKUP(D50,EmissRed_Shortlist!$D$8:$W$87,20,FALSE)</f>
        <v>39</v>
      </c>
      <c r="C50" s="153" t="str">
        <f>VLOOKUP(D50,Shortlist_xref!$A$5:$C$77,2,FALSE)</f>
        <v>CE</v>
      </c>
      <c r="D50" s="3" t="s">
        <v>209</v>
      </c>
      <c r="E50" s="5" t="s">
        <v>210</v>
      </c>
      <c r="F50" s="5" t="s">
        <v>211</v>
      </c>
      <c r="G50" s="3" t="s">
        <v>12</v>
      </c>
      <c r="H50" s="157">
        <f>IF($Y50="mobile",SUMIFS(Mobile_options!F:F,Mobile_options!$B:$B,$D50,Mobile_options!$E:$E,$G50),IF($Y50="nonpoint",SUMIFS(Nonpoint_options!F:F,Nonpoint_options!$B:$B,$D50,Nonpoint_options!$E:$E,$G50),SUMIFS(Point_options!F:F,Point_options!$B:$B,$D50,Point_options!$E:$E,$G50)))</f>
        <v>0.02</v>
      </c>
      <c r="I50" s="154">
        <f>IF($Y50="mobile",SUMIFS(Mobile_options!G:G,Mobile_options!$B:$B,$D50,Mobile_options!$E:$E,$G50),IF($Y50="nonpoint",SUMIFS(Nonpoint_options!G:G,Nonpoint_options!$B:$B,$D50,Nonpoint_options!$E:$E,$G50),SUMIFS(Point_options!G:G,Point_options!$B:$B,$D50,Point_options!$E:$E,$G50)))</f>
        <v>0.8</v>
      </c>
      <c r="J50" s="158" t="str">
        <f>IF(Y50="mobile",VLOOKUP($D50&amp;$G50,Mobile_options!$X$1:$Y$150,2,FALSE),IF(Y50="nonpoint",VLOOKUP($D50&amp;$G50,Nonpoint_options!$W$1:$X$150,2,FALSE),VLOOKUP($D50&amp;$G50,Point_options!$U$1:$V$150,2,FALSE)))</f>
        <v>$2,900 - 4,600/ton NOx</v>
      </c>
      <c r="K50" s="159">
        <f>IF($Y50="mobile",SUMIFS(Mobile_options!I:I,Mobile_options!$B:$B,$D50,Mobile_options!$E:$E,$G50),IF($Y50="nonpoint",SUMIFS(Nonpoint_options!I:I,Nonpoint_options!$B:$B,$D50,Nonpoint_options!$E:$E,$G50),SUMIFS(Point_options!I:I,Point_options!$B:$B,$D50,Point_options!$E:$E,$G50)))</f>
        <v>7.4572282514097213E-2</v>
      </c>
      <c r="L50" s="168">
        <f>IF($Y50="mobile",SUMIFS(Mobile_options!J:J,Mobile_options!$B:$B,$D50,Mobile_options!$E:$E,$G50),IF($Y50="nonpoint",SUMIFS(Nonpoint_options!J:J,Nonpoint_options!$B:$B,$D50,Nonpoint_options!$E:$E,$G50),SUMIFS(Point_options!J:J,Point_options!$B:$B,$D50,Point_options!$E:$E,$G50)))</f>
        <v>1279.3797261465477</v>
      </c>
      <c r="M50" s="92" t="s">
        <v>250</v>
      </c>
      <c r="N50" s="92" t="s">
        <v>250</v>
      </c>
      <c r="O50" s="92" t="s">
        <v>250</v>
      </c>
      <c r="P50" s="92" t="s">
        <v>250</v>
      </c>
      <c r="Q50" s="92" t="s">
        <v>251</v>
      </c>
      <c r="R50" s="92" t="s">
        <v>251</v>
      </c>
      <c r="S50" s="52" t="str">
        <f>IF(ISNA(VLOOKUP($D50,Mobile_state_reductions!$B$4:$X$114,23,FALSE))=TRUE,"",VLOOKUP($D50,Mobile_state_reductions!$B$4:$X$114,23,FALSE))</f>
        <v/>
      </c>
      <c r="T50" s="52" t="str">
        <f t="shared" si="3"/>
        <v>O-42NOx</v>
      </c>
      <c r="U50" s="52">
        <f t="shared" si="4"/>
        <v>43</v>
      </c>
      <c r="V50" s="52" t="str">
        <f>IF(ISNA(VLOOKUP($D50,Nonpoint_state_reductions!$B$4:$X$108,23,FALSE))=TRUE,"",VLOOKUP($D50,Nonpoint_state_reductions!$B$4:$X$108,23,FALSE))</f>
        <v/>
      </c>
      <c r="W50" s="52" t="str">
        <f>IF(ISNA(VLOOKUP($D50,Point_state_reductions!$B$3:$X$117,23,FALSE)),"",VLOOKUP($D50,Point_state_reductions!$B$3:$X$117,23,FALSE))</f>
        <v/>
      </c>
      <c r="Y50" s="185" t="str">
        <f>VLOOKUP(D50,EmissRed_Shortlist!$D$8:$V$111,19,FALSE)</f>
        <v>mobile</v>
      </c>
      <c r="Z50" s="201">
        <f t="shared" si="2"/>
        <v>43</v>
      </c>
    </row>
    <row r="51" spans="1:26" ht="14.4" x14ac:dyDescent="0.3">
      <c r="A51" s="92">
        <v>44</v>
      </c>
      <c r="B51" s="92">
        <f>VLOOKUP(D51,EmissRed_Shortlist!$D$8:$W$87,20,FALSE)</f>
        <v>58</v>
      </c>
      <c r="C51" s="153" t="str">
        <f>VLOOKUP(D51,Shortlist_xref!$A$5:$C$77,2,FALSE)</f>
        <v>R-Select</v>
      </c>
      <c r="D51" s="3" t="s">
        <v>160</v>
      </c>
      <c r="E51" s="5" t="s">
        <v>161</v>
      </c>
      <c r="F51" s="5" t="s">
        <v>162</v>
      </c>
      <c r="G51" s="3" t="s">
        <v>12</v>
      </c>
      <c r="H51" s="157">
        <f>IF($Y51="mobile",SUMIFS(Mobile_options!F:F,Mobile_options!$B:$B,$D51,Mobile_options!$E:$E,$G51),IF($Y51="nonpoint",SUMIFS(Nonpoint_options!F:F,Nonpoint_options!$B:$B,$D51,Nonpoint_options!$E:$E,$G51),SUMIFS(Point_options!F:F,Point_options!$B:$B,$D51,Point_options!$E:$E,$G51)))</f>
        <v>0.01</v>
      </c>
      <c r="I51" s="154">
        <f>IF($Y51="mobile",SUMIFS(Mobile_options!G:G,Mobile_options!$B:$B,$D51,Mobile_options!$E:$E,$G51),IF($Y51="nonpoint",SUMIFS(Nonpoint_options!G:G,Nonpoint_options!$B:$B,$D51,Nonpoint_options!$E:$E,$G51),SUMIFS(Point_options!G:G,Point_options!$B:$B,$D51,Point_options!$E:$E,$G51)))</f>
        <v>0.185</v>
      </c>
      <c r="J51" s="158" t="str">
        <f>IF(Y51="mobile",VLOOKUP($D51&amp;$G51,Mobile_options!$X$1:$Y$150,2,FALSE),IF(Y51="nonpoint",VLOOKUP($D51&amp;$G51,Nonpoint_options!$W$1:$X$150,2,FALSE),VLOOKUP($D51&amp;$G51,Point_options!$U$1:$V$150,2,FALSE)))</f>
        <v>$4,500/ ton NOx</v>
      </c>
      <c r="K51" s="159">
        <f>IF($Y51="mobile",SUMIFS(Mobile_options!I:I,Mobile_options!$B:$B,$D51,Mobile_options!$E:$E,$G51),IF($Y51="nonpoint",SUMIFS(Nonpoint_options!I:I,Nonpoint_options!$B:$B,$D51,Nonpoint_options!$E:$E,$G51),SUMIFS(Point_options!I:I,Point_options!$B:$B,$D51,Point_options!$E:$E,$G51)))</f>
        <v>6.7174878183986653E-2</v>
      </c>
      <c r="L51" s="168">
        <f>IF($Y51="mobile",SUMIFS(Mobile_options!J:J,Mobile_options!$B:$B,$D51,Mobile_options!$E:$E,$G51),IF($Y51="nonpoint",SUMIFS(Nonpoint_options!J:J,Nonpoint_options!$B:$B,$D51,Nonpoint_options!$E:$E,$G51),SUMIFS(Point_options!J:J,Point_options!$B:$B,$D51,Point_options!$E:$E,$G51)))</f>
        <v>133.25412485833243</v>
      </c>
      <c r="M51" s="92" t="s">
        <v>250</v>
      </c>
      <c r="N51" s="92" t="s">
        <v>250</v>
      </c>
      <c r="O51" s="92" t="s">
        <v>250</v>
      </c>
      <c r="P51" s="92" t="s">
        <v>250</v>
      </c>
      <c r="Q51" s="92" t="s">
        <v>251</v>
      </c>
      <c r="R51" s="92" t="s">
        <v>251</v>
      </c>
      <c r="S51" s="52" t="str">
        <f>IF(ISNA(VLOOKUP($D51,Mobile_state_reductions!$B$4:$X$114,23,FALSE))=TRUE,"",VLOOKUP($D51,Mobile_state_reductions!$B$4:$X$114,23,FALSE))</f>
        <v/>
      </c>
      <c r="T51" s="52" t="str">
        <f t="shared" si="3"/>
        <v>N-1NOx</v>
      </c>
      <c r="U51" s="52">
        <f t="shared" si="4"/>
        <v>44</v>
      </c>
      <c r="V51" s="52" t="str">
        <f>IF(ISNA(VLOOKUP($D51,Nonpoint_state_reductions!$B$4:$X$108,23,FALSE))=TRUE,"",VLOOKUP($D51,Nonpoint_state_reductions!$B$4:$X$108,23,FALSE))</f>
        <v/>
      </c>
      <c r="W51" s="52" t="str">
        <f>IF(ISNA(VLOOKUP($D51,Point_state_reductions!$B$3:$X$117,23,FALSE)),"",VLOOKUP($D51,Point_state_reductions!$B$3:$X$117,23,FALSE))</f>
        <v/>
      </c>
      <c r="Y51" s="185" t="str">
        <f>VLOOKUP(D51,EmissRed_Shortlist!$D$8:$V$111,19,FALSE)</f>
        <v>mobile</v>
      </c>
      <c r="Z51" s="201">
        <f t="shared" si="2"/>
        <v>44</v>
      </c>
    </row>
    <row r="52" spans="1:26" ht="14.4" x14ac:dyDescent="0.3">
      <c r="A52" s="166">
        <v>45</v>
      </c>
      <c r="B52" s="166">
        <f>VLOOKUP(D52,EmissRed_Shortlist!$D$8:$W$87,20,FALSE)</f>
        <v>10</v>
      </c>
      <c r="C52" s="160" t="str">
        <f>VLOOKUP(D52,Shortlist_xref!$A$5:$C$77,2,FALSE)</f>
        <v>EmissRed</v>
      </c>
      <c r="D52" s="160" t="s">
        <v>309</v>
      </c>
      <c r="E52" s="167" t="s">
        <v>328</v>
      </c>
      <c r="F52" s="167" t="s">
        <v>329</v>
      </c>
      <c r="G52" s="160" t="s">
        <v>53</v>
      </c>
      <c r="H52" s="161">
        <f>IF($Y52="mobile",SUMIFS(Mobile_options!F:F,Mobile_options!$B:$B,$D52,Mobile_options!$E:$E,$G52),IF($Y52="nonpoint",SUMIFS(Nonpoint_options!F:F,Nonpoint_options!$B:$B,$D52,Nonpoint_options!$E:$E,$G52),SUMIFS(Point_options!F:F,Point_options!$B:$B,$D52,Point_options!$E:$E,$G52)))</f>
        <v>0.1</v>
      </c>
      <c r="I52" s="162">
        <f>IF($Y52="mobile",SUMIFS(Mobile_options!G:G,Mobile_options!$B:$B,$D52,Mobile_options!$E:$E,$G52),IF($Y52="nonpoint",SUMIFS(Nonpoint_options!G:G,Nonpoint_options!$B:$B,$D52,Nonpoint_options!$E:$E,$G52),SUMIFS(Point_options!G:G,Point_options!$B:$B,$D52,Point_options!$E:$E,$G52)))</f>
        <v>0.75</v>
      </c>
      <c r="J52" s="163">
        <f>IF(Y52="mobile",VLOOKUP($D52&amp;$G52,Mobile_options!$X$1:$Y$150,2,FALSE),IF(Y52="nonpoint",VLOOKUP($D52&amp;$G52,Nonpoint_options!$W$1:$X$150,2,FALSE),VLOOKUP($D52&amp;$G52,Point_options!$U$1:$V$150,2,FALSE)))</f>
        <v>6000</v>
      </c>
      <c r="K52" s="164">
        <f>IF($Y52="mobile",SUMIFS(Mobile_options!I:I,Mobile_options!$B:$B,$D52,Mobile_options!$E:$E,$G52),IF($Y52="nonpoint",SUMIFS(Nonpoint_options!I:I,Nonpoint_options!$B:$B,$D52,Nonpoint_options!$E:$E,$G52),SUMIFS(Point_options!I:I,Point_options!$B:$B,$D52,Point_options!$E:$E,$G52)))</f>
        <v>4.9876557715544799E-2</v>
      </c>
      <c r="L52" s="169">
        <f>IF($Y52="mobile",SUMIFS(Mobile_options!J:J,Mobile_options!$B:$B,$D52,Mobile_options!$E:$E,$G52),IF($Y52="nonpoint",SUMIFS(Nonpoint_options!J:J,Nonpoint_options!$B:$B,$D52,Nonpoint_options!$E:$E,$G52),SUMIFS(Point_options!J:J,Point_options!$B:$B,$D52,Point_options!$E:$E,$G52)))</f>
        <v>5643.2852569826791</v>
      </c>
      <c r="M52" s="166" t="s">
        <v>250</v>
      </c>
      <c r="N52" s="166" t="s">
        <v>250</v>
      </c>
      <c r="O52" s="166" t="s">
        <v>263</v>
      </c>
      <c r="P52" s="166" t="s">
        <v>250</v>
      </c>
      <c r="Q52" s="166" t="s">
        <v>251</v>
      </c>
      <c r="R52" s="166" t="s">
        <v>251</v>
      </c>
      <c r="S52" s="52" t="str">
        <f>IF(ISNA(VLOOKUP($D52,Mobile_state_reductions!$B$4:$X$114,23,FALSE))=TRUE,"",VLOOKUP($D52,Mobile_state_reductions!$B$4:$X$114,23,FALSE))</f>
        <v/>
      </c>
      <c r="T52" s="52" t="str">
        <f t="shared" si="3"/>
        <v>NP - 19VOC</v>
      </c>
      <c r="U52" s="52">
        <f t="shared" si="4"/>
        <v>45</v>
      </c>
      <c r="V52" s="52" t="str">
        <f>IF(ISNA(VLOOKUP($D52,Nonpoint_state_reductions!$B$4:$X$108,23,FALSE))=TRUE,"",VLOOKUP($D52,Nonpoint_state_reductions!$B$4:$X$108,23,FALSE))</f>
        <v>ILINMIMNOHWI</v>
      </c>
      <c r="W52" s="52" t="str">
        <f>IF(ISNA(VLOOKUP($D52,Point_state_reductions!$B$3:$X$117,23,FALSE)),"",VLOOKUP($D52,Point_state_reductions!$B$3:$X$117,23,FALSE))</f>
        <v/>
      </c>
      <c r="Y52" s="185" t="str">
        <f>VLOOKUP(D52,EmissRed_Shortlist!$D$8:$V$111,19,FALSE)</f>
        <v>nonpoint</v>
      </c>
      <c r="Z52" s="201">
        <f t="shared" si="2"/>
        <v>45</v>
      </c>
    </row>
    <row r="53" spans="1:26" ht="14.4" x14ac:dyDescent="0.3">
      <c r="A53" s="92">
        <v>46</v>
      </c>
      <c r="B53" s="92">
        <f>VLOOKUP(D53,EmissRed_Shortlist!$D$8:$W$87,20,FALSE)</f>
        <v>9</v>
      </c>
      <c r="C53" s="153" t="str">
        <f>VLOOKUP(D53,Shortlist_xref!$A$5:$C$77,2,FALSE)</f>
        <v>EmissRed</v>
      </c>
      <c r="D53" s="57" t="s">
        <v>87</v>
      </c>
      <c r="E53" s="58" t="s">
        <v>88</v>
      </c>
      <c r="F53" s="12" t="s">
        <v>89</v>
      </c>
      <c r="G53" s="57" t="s">
        <v>12</v>
      </c>
      <c r="H53" s="157">
        <f>IF($Y53="mobile",SUMIFS(Mobile_options!F:F,Mobile_options!$B:$B,$D53,Mobile_options!$E:$E,$G53),IF($Y53="nonpoint",SUMIFS(Nonpoint_options!F:F,Nonpoint_options!$B:$B,$D53,Nonpoint_options!$E:$E,$G53),SUMIFS(Point_options!F:F,Point_options!$B:$B,$D53,Point_options!$E:$E,$G53)))</f>
        <v>0.1</v>
      </c>
      <c r="I53" s="154">
        <f>IF($Y53="mobile",SUMIFS(Mobile_options!G:G,Mobile_options!$B:$B,$D53,Mobile_options!$E:$E,$G53),IF($Y53="nonpoint",SUMIFS(Nonpoint_options!G:G,Nonpoint_options!$B:$B,$D53,Nonpoint_options!$E:$E,$G53),SUMIFS(Point_options!G:G,Point_options!$B:$B,$D53,Point_options!$E:$E,$G53)))</f>
        <v>0.45</v>
      </c>
      <c r="J53" s="158">
        <f>IF(Y53="mobile",VLOOKUP($D53&amp;$G53,Mobile_options!$X$1:$Y$150,2,FALSE),IF(Y53="nonpoint",VLOOKUP($D53&amp;$G53,Nonpoint_options!$W$1:$X$150,2,FALSE),VLOOKUP($D53&amp;$G53,Point_options!$U$1:$V$150,2,FALSE)))</f>
        <v>20000</v>
      </c>
      <c r="K53" s="159">
        <f>IF($Y53="mobile",SUMIFS(Mobile_options!I:I,Mobile_options!$B:$B,$D53,Mobile_options!$E:$E,$G53),IF($Y53="nonpoint",SUMIFS(Nonpoint_options!I:I,Nonpoint_options!$B:$B,$D53,Nonpoint_options!$E:$E,$G53),SUMIFS(Point_options!I:I,Point_options!$B:$B,$D53,Point_options!$E:$E,$G53)))</f>
        <v>0.11775342127344109</v>
      </c>
      <c r="L53" s="168">
        <f>IF($Y53="mobile",SUMIFS(Mobile_options!J:J,Mobile_options!$B:$B,$D53,Mobile_options!$E:$E,$G53),IF($Y53="nonpoint",SUMIFS(Nonpoint_options!J:J,Nonpoint_options!$B:$B,$D53,Nonpoint_options!$E:$E,$G53),SUMIFS(Point_options!J:J,Point_options!$B:$B,$D53,Point_options!$E:$E,$G53)))</f>
        <v>5681.8281414511894</v>
      </c>
      <c r="M53" s="92" t="s">
        <v>250</v>
      </c>
      <c r="N53" s="92" t="s">
        <v>250</v>
      </c>
      <c r="O53" s="92" t="s">
        <v>262</v>
      </c>
      <c r="P53" s="92" t="s">
        <v>250</v>
      </c>
      <c r="Q53" s="92" t="s">
        <v>251</v>
      </c>
      <c r="R53" s="92" t="s">
        <v>251</v>
      </c>
      <c r="S53" s="52" t="str">
        <f>IF(ISNA(VLOOKUP($D53,Mobile_state_reductions!$B$4:$X$114,23,FALSE))=TRUE,"",VLOOKUP($D53,Mobile_state_reductions!$B$4:$X$114,23,FALSE))</f>
        <v/>
      </c>
      <c r="T53" s="52" t="str">
        <f t="shared" si="3"/>
        <v>NP - 7NOx</v>
      </c>
      <c r="U53" s="52">
        <f t="shared" si="4"/>
        <v>46</v>
      </c>
      <c r="V53" s="52" t="str">
        <f>IF(ISNA(VLOOKUP($D53,Nonpoint_state_reductions!$B$4:$X$108,23,FALSE))=TRUE,"",VLOOKUP($D53,Nonpoint_state_reductions!$B$4:$X$108,23,FALSE))</f>
        <v>ILINMIMNOHWI</v>
      </c>
      <c r="W53" s="52" t="str">
        <f>IF(ISNA(VLOOKUP($D53,Point_state_reductions!$B$3:$X$117,23,FALSE)),"",VLOOKUP($D53,Point_state_reductions!$B$3:$X$117,23,FALSE))</f>
        <v/>
      </c>
      <c r="Y53" s="185" t="str">
        <f>VLOOKUP(D53,EmissRed_Shortlist!$D$8:$V$111,19,FALSE)</f>
        <v>nonpoint</v>
      </c>
      <c r="Z53" s="201">
        <f t="shared" si="2"/>
        <v>46</v>
      </c>
    </row>
    <row r="54" spans="1:26" ht="24.2" x14ac:dyDescent="0.3">
      <c r="A54" s="92">
        <v>47</v>
      </c>
      <c r="B54" s="92">
        <f>VLOOKUP(D54,EmissRed_Shortlist!$D$8:$W$87,20,FALSE)</f>
        <v>24</v>
      </c>
      <c r="C54" s="153" t="str">
        <f>VLOOKUP(D54,Shortlist_xref!$A$5:$C$77,2,FALSE)</f>
        <v>R-Select</v>
      </c>
      <c r="D54" s="57" t="s">
        <v>106</v>
      </c>
      <c r="E54" s="58" t="s">
        <v>107</v>
      </c>
      <c r="F54" s="12" t="s">
        <v>108</v>
      </c>
      <c r="G54" s="57" t="s">
        <v>53</v>
      </c>
      <c r="H54" s="157">
        <f>IF($Y54="mobile",SUMIFS(Mobile_options!F:F,Mobile_options!$B:$B,$D54,Mobile_options!$E:$E,$G54),IF($Y54="nonpoint",SUMIFS(Nonpoint_options!F:F,Nonpoint_options!$B:$B,$D54,Nonpoint_options!$E:$E,$G54),SUMIFS(Point_options!F:F,Point_options!$B:$B,$D54,Point_options!$E:$E,$G54)))</f>
        <v>0.1</v>
      </c>
      <c r="I54" s="154">
        <f>IF($Y54="mobile",SUMIFS(Mobile_options!G:G,Mobile_options!$B:$B,$D54,Mobile_options!$E:$E,$G54),IF($Y54="nonpoint",SUMIFS(Nonpoint_options!G:G,Nonpoint_options!$B:$B,$D54,Nonpoint_options!$E:$E,$G54),SUMIFS(Point_options!G:G,Point_options!$B:$B,$D54,Point_options!$E:$E,$G54)))</f>
        <v>0.4</v>
      </c>
      <c r="J54" s="158">
        <f>IF(Y54="mobile",VLOOKUP($D54&amp;$G54,Mobile_options!$X$1:$Y$150,2,FALSE),IF(Y54="nonpoint",VLOOKUP($D54&amp;$G54,Nonpoint_options!$W$1:$X$150,2,FALSE),VLOOKUP($D54&amp;$G54,Point_options!$U$1:$V$150,2,FALSE)))</f>
        <v>20664</v>
      </c>
      <c r="K54" s="159">
        <f>IF($Y54="mobile",SUMIFS(Mobile_options!I:I,Mobile_options!$B:$B,$D54,Mobile_options!$E:$E,$G54),IF($Y54="nonpoint",SUMIFS(Nonpoint_options!I:I,Nonpoint_options!$B:$B,$D54,Nonpoint_options!$E:$E,$G54),SUMIFS(Point_options!I:I,Point_options!$B:$B,$D54,Point_options!$E:$E,$G54)))</f>
        <v>5.6495140941927639E-2</v>
      </c>
      <c r="L54" s="168">
        <f>IF($Y54="mobile",SUMIFS(Mobile_options!J:J,Mobile_options!$B:$B,$D54,Mobile_options!$E:$E,$G54),IF($Y54="nonpoint",SUMIFS(Nonpoint_options!J:J,Nonpoint_options!$B:$B,$D54,Nonpoint_options!$E:$E,$G54),SUMIFS(Point_options!J:J,Point_options!$B:$B,$D54,Point_options!$E:$E,$G54)))</f>
        <v>3409.144074317961</v>
      </c>
      <c r="M54" s="92" t="s">
        <v>250</v>
      </c>
      <c r="N54" s="92" t="s">
        <v>250</v>
      </c>
      <c r="O54" s="92" t="s">
        <v>263</v>
      </c>
      <c r="P54" s="92" t="s">
        <v>250</v>
      </c>
      <c r="Q54" s="92" t="s">
        <v>253</v>
      </c>
      <c r="R54" s="92" t="s">
        <v>253</v>
      </c>
      <c r="S54" s="52" t="str">
        <f>IF(ISNA(VLOOKUP($D54,Mobile_state_reductions!$B$4:$X$114,23,FALSE))=TRUE,"",VLOOKUP($D54,Mobile_state_reductions!$B$4:$X$114,23,FALSE))</f>
        <v/>
      </c>
      <c r="T54" s="52" t="str">
        <f t="shared" si="3"/>
        <v>NP - 43VOC</v>
      </c>
      <c r="U54" s="52">
        <f t="shared" si="4"/>
        <v>47</v>
      </c>
      <c r="V54" s="52" t="str">
        <f>IF(ISNA(VLOOKUP($D54,Nonpoint_state_reductions!$B$4:$X$108,23,FALSE))=TRUE,"",VLOOKUP($D54,Nonpoint_state_reductions!$B$4:$X$108,23,FALSE))</f>
        <v>ILINMIMNOHWI</v>
      </c>
      <c r="W54" s="52" t="str">
        <f>IF(ISNA(VLOOKUP($D54,Point_state_reductions!$B$3:$X$117,23,FALSE)),"",VLOOKUP($D54,Point_state_reductions!$B$3:$X$117,23,FALSE))</f>
        <v/>
      </c>
      <c r="Y54" s="185" t="str">
        <f>VLOOKUP(D54,EmissRed_Shortlist!$D$8:$V$111,19,FALSE)</f>
        <v>nonpoint</v>
      </c>
      <c r="Z54" s="201">
        <f t="shared" si="2"/>
        <v>47</v>
      </c>
    </row>
    <row r="55" spans="1:26" ht="24.2" x14ac:dyDescent="0.3">
      <c r="A55" s="92">
        <v>48</v>
      </c>
      <c r="B55" s="92">
        <f>VLOOKUP(D55,EmissRed_Shortlist!$D$8:$W$87,20,FALSE)</f>
        <v>26</v>
      </c>
      <c r="C55" s="153" t="str">
        <f>VLOOKUP(D55,Shortlist_xref!$A$5:$C$77,2,FALSE)</f>
        <v>EmissRed</v>
      </c>
      <c r="D55" s="57" t="s">
        <v>166</v>
      </c>
      <c r="E55" s="58" t="s">
        <v>167</v>
      </c>
      <c r="F55" s="12" t="s">
        <v>168</v>
      </c>
      <c r="G55" s="57" t="s">
        <v>12</v>
      </c>
      <c r="H55" s="157">
        <f>IF($Y55="mobile",SUMIFS(Mobile_options!F:F,Mobile_options!$B:$B,$D55,Mobile_options!$E:$E,$G55),IF($Y55="nonpoint",SUMIFS(Nonpoint_options!F:F,Nonpoint_options!$B:$B,$D55,Nonpoint_options!$E:$E,$G55),SUMIFS(Point_options!F:F,Point_options!$B:$B,$D55,Point_options!$E:$E,$G55)))</f>
        <v>0.1</v>
      </c>
      <c r="I55" s="154">
        <f>IF($Y55="mobile",SUMIFS(Mobile_options!G:G,Mobile_options!$B:$B,$D55,Mobile_options!$E:$E,$G55),IF($Y55="nonpoint",SUMIFS(Nonpoint_options!G:G,Nonpoint_options!$B:$B,$D55,Nonpoint_options!$E:$E,$G55),SUMIFS(Point_options!G:G,Point_options!$B:$B,$D55,Point_options!$E:$E,$G55)))</f>
        <v>0.95</v>
      </c>
      <c r="J55" s="158" t="str">
        <f>IF(Y55="mobile",VLOOKUP($D55&amp;$G55,Mobile_options!$X$1:$Y$150,2,FALSE),IF(Y55="nonpoint",VLOOKUP($D55&amp;$G55,Nonpoint_options!$W$1:$X$150,2,FALSE),VLOOKUP($D55&amp;$G55,Point_options!$U$1:$V$150,2,FALSE)))</f>
        <v>$12,750/ton NOx</v>
      </c>
      <c r="K55" s="159">
        <f>IF($Y55="mobile",SUMIFS(Mobile_options!I:I,Mobile_options!$B:$B,$D55,Mobile_options!$E:$E,$G55),IF($Y55="nonpoint",SUMIFS(Nonpoint_options!I:I,Nonpoint_options!$B:$B,$D55,Nonpoint_options!$E:$E,$G55),SUMIFS(Point_options!I:I,Point_options!$B:$B,$D55,Point_options!$E:$E,$G55)))</f>
        <v>2.8683074717640807E-2</v>
      </c>
      <c r="L55" s="168">
        <f>IF($Y55="mobile",SUMIFS(Mobile_options!J:J,Mobile_options!$B:$B,$D55,Mobile_options!$E:$E,$G55),IF($Y55="nonpoint",SUMIFS(Nonpoint_options!J:J,Nonpoint_options!$B:$B,$D55,Nonpoint_options!$E:$E,$G55),SUMIFS(Point_options!J:J,Point_options!$B:$B,$D55,Point_options!$E:$E,$G55)))</f>
        <v>2921.8058546787438</v>
      </c>
      <c r="M55" s="92" t="s">
        <v>250</v>
      </c>
      <c r="N55" s="92" t="s">
        <v>250</v>
      </c>
      <c r="O55" s="92" t="s">
        <v>250</v>
      </c>
      <c r="P55" s="92" t="s">
        <v>250</v>
      </c>
      <c r="Q55" s="92" t="s">
        <v>251</v>
      </c>
      <c r="R55" s="92" t="s">
        <v>251</v>
      </c>
      <c r="S55" s="52" t="str">
        <f>IF(ISNA(VLOOKUP($D55,Mobile_state_reductions!$B$4:$X$114,23,FALSE))=TRUE,"",VLOOKUP($D55,Mobile_state_reductions!$B$4:$X$114,23,FALSE))</f>
        <v/>
      </c>
      <c r="T55" s="52" t="str">
        <f t="shared" si="3"/>
        <v>N-17NOx</v>
      </c>
      <c r="U55" s="52">
        <f t="shared" si="4"/>
        <v>48</v>
      </c>
      <c r="V55" s="52" t="str">
        <f>IF(ISNA(VLOOKUP($D55,Nonpoint_state_reductions!$B$4:$X$108,23,FALSE))=TRUE,"",VLOOKUP($D55,Nonpoint_state_reductions!$B$4:$X$108,23,FALSE))</f>
        <v/>
      </c>
      <c r="W55" s="52" t="str">
        <f>IF(ISNA(VLOOKUP($D55,Point_state_reductions!$B$3:$X$117,23,FALSE)),"",VLOOKUP($D55,Point_state_reductions!$B$3:$X$117,23,FALSE))</f>
        <v/>
      </c>
      <c r="Y55" s="185" t="str">
        <f>VLOOKUP(D55,EmissRed_Shortlist!$D$8:$V$111,19,FALSE)</f>
        <v>mobile</v>
      </c>
      <c r="Z55" s="201">
        <f t="shared" si="2"/>
        <v>48</v>
      </c>
    </row>
    <row r="56" spans="1:26" ht="24.2" x14ac:dyDescent="0.3">
      <c r="A56" s="92">
        <v>49</v>
      </c>
      <c r="B56" s="92">
        <f>VLOOKUP(D56,EmissRed_Shortlist!$D$8:$W$87,20,FALSE)</f>
        <v>25</v>
      </c>
      <c r="C56" s="153" t="str">
        <f>VLOOKUP(D56,Shortlist_xref!$A$5:$C$77,2,FALSE)</f>
        <v>EmissRed</v>
      </c>
      <c r="D56" s="57" t="s">
        <v>163</v>
      </c>
      <c r="E56" s="58" t="s">
        <v>164</v>
      </c>
      <c r="F56" s="12" t="s">
        <v>165</v>
      </c>
      <c r="G56" s="57" t="s">
        <v>12</v>
      </c>
      <c r="H56" s="157">
        <f>IF($Y56="mobile",SUMIFS(Mobile_options!F:F,Mobile_options!$B:$B,$D56,Mobile_options!$E:$E,$G56),IF($Y56="nonpoint",SUMIFS(Nonpoint_options!F:F,Nonpoint_options!$B:$B,$D56,Nonpoint_options!$E:$E,$G56),SUMIFS(Point_options!F:F,Point_options!$B:$B,$D56,Point_options!$E:$E,$G56)))</f>
        <v>0.1</v>
      </c>
      <c r="I56" s="154">
        <f>IF($Y56="mobile",SUMIFS(Mobile_options!G:G,Mobile_options!$B:$B,$D56,Mobile_options!$E:$E,$G56),IF($Y56="nonpoint",SUMIFS(Nonpoint_options!G:G,Nonpoint_options!$B:$B,$D56,Nonpoint_options!$E:$E,$G56),SUMIFS(Point_options!G:G,Point_options!$B:$B,$D56,Point_options!$E:$E,$G56)))</f>
        <v>1</v>
      </c>
      <c r="J56" s="158" t="str">
        <f>IF(Y56="mobile",VLOOKUP($D56&amp;$G56,Mobile_options!$X$1:$Y$150,2,FALSE),IF(Y56="nonpoint",VLOOKUP($D56&amp;$G56,Nonpoint_options!$W$1:$X$150,2,FALSE),VLOOKUP($D56&amp;$G56,Point_options!$U$1:$V$150,2,FALSE)))</f>
        <v>$16,000/ton NOx+VOC</v>
      </c>
      <c r="K56" s="159">
        <f>IF($Y56="mobile",SUMIFS(Mobile_options!I:I,Mobile_options!$B:$B,$D56,Mobile_options!$E:$E,$G56),IF($Y56="nonpoint",SUMIFS(Nonpoint_options!I:I,Nonpoint_options!$B:$B,$D56,Nonpoint_options!$E:$E,$G56),SUMIFS(Point_options!I:I,Point_options!$B:$B,$D56,Point_options!$E:$E,$G56)))</f>
        <v>2.8683074717640807E-2</v>
      </c>
      <c r="L56" s="168">
        <f>IF($Y56="mobile",SUMIFS(Mobile_options!J:J,Mobile_options!$B:$B,$D56,Mobile_options!$E:$E,$G56),IF($Y56="nonpoint",SUMIFS(Nonpoint_options!J:J,Nonpoint_options!$B:$B,$D56,Nonpoint_options!$E:$E,$G56),SUMIFS(Point_options!J:J,Point_options!$B:$B,$D56,Point_options!$E:$E,$G56)))</f>
        <v>3075.5851101881517</v>
      </c>
      <c r="M56" s="92" t="s">
        <v>250</v>
      </c>
      <c r="N56" s="92" t="s">
        <v>250</v>
      </c>
      <c r="O56" s="92" t="s">
        <v>250</v>
      </c>
      <c r="P56" s="92" t="s">
        <v>250</v>
      </c>
      <c r="Q56" s="92" t="s">
        <v>253</v>
      </c>
      <c r="R56" s="92" t="s">
        <v>251</v>
      </c>
      <c r="S56" s="52" t="str">
        <f>IF(ISNA(VLOOKUP($D56,Mobile_state_reductions!$B$4:$X$114,23,FALSE))=TRUE,"",VLOOKUP($D56,Mobile_state_reductions!$B$4:$X$114,23,FALSE))</f>
        <v/>
      </c>
      <c r="T56" s="52" t="str">
        <f t="shared" si="3"/>
        <v>N-16NOx</v>
      </c>
      <c r="U56" s="52">
        <f t="shared" si="4"/>
        <v>49</v>
      </c>
      <c r="V56" s="52" t="str">
        <f>IF(ISNA(VLOOKUP($D56,Nonpoint_state_reductions!$B$4:$X$108,23,FALSE))=TRUE,"",VLOOKUP($D56,Nonpoint_state_reductions!$B$4:$X$108,23,FALSE))</f>
        <v/>
      </c>
      <c r="W56" s="52" t="str">
        <f>IF(ISNA(VLOOKUP($D56,Point_state_reductions!$B$3:$X$117,23,FALSE)),"",VLOOKUP($D56,Point_state_reductions!$B$3:$X$117,23,FALSE))</f>
        <v/>
      </c>
      <c r="Y56" s="185" t="str">
        <f>VLOOKUP(D56,EmissRed_Shortlist!$D$8:$V$111,19,FALSE)</f>
        <v>mobile</v>
      </c>
      <c r="Z56" s="201">
        <f t="shared" si="2"/>
        <v>49</v>
      </c>
    </row>
    <row r="57" spans="1:26" ht="24.2" x14ac:dyDescent="0.3">
      <c r="A57" s="92">
        <v>50</v>
      </c>
      <c r="B57" s="92">
        <f>VLOOKUP(D57,EmissRed_Shortlist!$D$8:$W$87,20,FALSE)</f>
        <v>42</v>
      </c>
      <c r="C57" s="153" t="str">
        <f>VLOOKUP(D57,Shortlist_xref!$A$5:$C$77,2,FALSE)</f>
        <v>R-Select</v>
      </c>
      <c r="D57" s="57" t="s">
        <v>196</v>
      </c>
      <c r="E57" s="58" t="s">
        <v>197</v>
      </c>
      <c r="F57" s="12" t="s">
        <v>198</v>
      </c>
      <c r="G57" s="57" t="s">
        <v>12</v>
      </c>
      <c r="H57" s="157">
        <f>IF($Y57="mobile",SUMIFS(Mobile_options!F:F,Mobile_options!$B:$B,$D57,Mobile_options!$E:$E,$G57),IF($Y57="nonpoint",SUMIFS(Nonpoint_options!F:F,Nonpoint_options!$B:$B,$D57,Nonpoint_options!$E:$E,$G57),SUMIFS(Point_options!F:F,Point_options!$B:$B,$D57,Point_options!$E:$E,$G57)))</f>
        <v>0.01</v>
      </c>
      <c r="I57" s="154">
        <f>IF($Y57="mobile",SUMIFS(Mobile_options!G:G,Mobile_options!$B:$B,$D57,Mobile_options!$E:$E,$G57),IF($Y57="nonpoint",SUMIFS(Nonpoint_options!G:G,Nonpoint_options!$B:$B,$D57,Nonpoint_options!$E:$E,$G57),SUMIFS(Point_options!G:G,Point_options!$B:$B,$D57,Point_options!$E:$E,$G57)))</f>
        <v>1</v>
      </c>
      <c r="J57" s="158" t="str">
        <f>IF(Y57="mobile",VLOOKUP($D57&amp;$G57,Mobile_options!$X$1:$Y$150,2,FALSE),IF(Y57="nonpoint",VLOOKUP($D57&amp;$G57,Nonpoint_options!$W$1:$X$150,2,FALSE),VLOOKUP($D57&amp;$G57,Point_options!$U$1:$V$150,2,FALSE)))</f>
        <v>$16,000/ton NOx+VOC</v>
      </c>
      <c r="K57" s="159">
        <f>IF($Y57="mobile",SUMIFS(Mobile_options!I:I,Mobile_options!$B:$B,$D57,Mobile_options!$E:$E,$G57),IF($Y57="nonpoint",SUMIFS(Nonpoint_options!I:I,Nonpoint_options!$B:$B,$D57,Nonpoint_options!$E:$E,$G57),SUMIFS(Point_options!I:I,Point_options!$B:$B,$D57,Point_options!$E:$E,$G57)))</f>
        <v>9.6364916194584833E-3</v>
      </c>
      <c r="L57" s="168">
        <f>IF($Y57="mobile",SUMIFS(Mobile_options!J:J,Mobile_options!$B:$B,$D57,Mobile_options!$E:$E,$G57),IF($Y57="nonpoint",SUMIFS(Nonpoint_options!J:J,Nonpoint_options!$B:$B,$D57,Nonpoint_options!$E:$E,$G57),SUMIFS(Point_options!J:J,Point_options!$B:$B,$D57,Point_options!$E:$E,$G57)))</f>
        <v>103.32870667115543</v>
      </c>
      <c r="M57" s="92" t="s">
        <v>250</v>
      </c>
      <c r="N57" s="92" t="s">
        <v>250</v>
      </c>
      <c r="O57" s="92" t="s">
        <v>250</v>
      </c>
      <c r="P57" s="92" t="s">
        <v>250</v>
      </c>
      <c r="Q57" s="92" t="s">
        <v>251</v>
      </c>
      <c r="R57" s="92" t="s">
        <v>251</v>
      </c>
      <c r="S57" s="52" t="str">
        <f>IF(ISNA(VLOOKUP($D57,Mobile_state_reductions!$B$4:$X$114,23,FALSE))=TRUE,"",VLOOKUP($D57,Mobile_state_reductions!$B$4:$X$114,23,FALSE))</f>
        <v/>
      </c>
      <c r="T57" s="52" t="str">
        <f t="shared" si="3"/>
        <v>N-18NOx</v>
      </c>
      <c r="U57" s="52">
        <f t="shared" si="4"/>
        <v>50</v>
      </c>
      <c r="V57" s="52" t="str">
        <f>IF(ISNA(VLOOKUP($D57,Nonpoint_state_reductions!$B$4:$X$108,23,FALSE))=TRUE,"",VLOOKUP($D57,Nonpoint_state_reductions!$B$4:$X$108,23,FALSE))</f>
        <v/>
      </c>
      <c r="W57" s="52" t="str">
        <f>IF(ISNA(VLOOKUP($D57,Point_state_reductions!$B$3:$X$117,23,FALSE)),"",VLOOKUP($D57,Point_state_reductions!$B$3:$X$117,23,FALSE))</f>
        <v/>
      </c>
      <c r="Y57" s="185" t="str">
        <f>VLOOKUP(D57,EmissRed_Shortlist!$D$8:$V$111,19,FALSE)</f>
        <v>mobile</v>
      </c>
      <c r="Z57" s="201">
        <f t="shared" si="2"/>
        <v>50</v>
      </c>
    </row>
    <row r="58" spans="1:26" ht="24.2" x14ac:dyDescent="0.3">
      <c r="A58" s="92">
        <v>51</v>
      </c>
      <c r="B58" s="92">
        <f>VLOOKUP(D58,EmissRed_Shortlist!$D$8:$W$87,20,FALSE)</f>
        <v>42</v>
      </c>
      <c r="C58" s="153" t="str">
        <f>VLOOKUP(D58,Shortlist_xref!$A$5:$C$77,2,FALSE)</f>
        <v>R-Select</v>
      </c>
      <c r="D58" s="57" t="s">
        <v>196</v>
      </c>
      <c r="E58" s="58" t="s">
        <v>197</v>
      </c>
      <c r="F58" s="12" t="s">
        <v>198</v>
      </c>
      <c r="G58" s="57" t="s">
        <v>53</v>
      </c>
      <c r="H58" s="157">
        <f>IF($Y58="mobile",SUMIFS(Mobile_options!F:F,Mobile_options!$B:$B,$D58,Mobile_options!$E:$E,$G58),IF($Y58="nonpoint",SUMIFS(Nonpoint_options!F:F,Nonpoint_options!$B:$B,$D58,Nonpoint_options!$E:$E,$G58),SUMIFS(Point_options!F:F,Point_options!$B:$B,$D58,Point_options!$E:$E,$G58)))</f>
        <v>0.01</v>
      </c>
      <c r="I58" s="154">
        <f>IF($Y58="mobile",SUMIFS(Mobile_options!G:G,Mobile_options!$B:$B,$D58,Mobile_options!$E:$E,$G58),IF($Y58="nonpoint",SUMIFS(Nonpoint_options!G:G,Nonpoint_options!$B:$B,$D58,Nonpoint_options!$E:$E,$G58),SUMIFS(Point_options!G:G,Point_options!$B:$B,$D58,Point_options!$E:$E,$G58)))</f>
        <v>1</v>
      </c>
      <c r="J58" s="158" t="str">
        <f>IF(Y58="mobile",VLOOKUP($D58&amp;$G58,Mobile_options!$X$1:$Y$150,2,FALSE),IF(Y58="nonpoint",VLOOKUP($D58&amp;$G58,Nonpoint_options!$W$1:$X$150,2,FALSE),VLOOKUP($D58&amp;$G58,Point_options!$U$1:$V$150,2,FALSE)))</f>
        <v>$16,000/ton NOx+VOC</v>
      </c>
      <c r="K58" s="159">
        <f>IF($Y58="mobile",SUMIFS(Mobile_options!I:I,Mobile_options!$B:$B,$D58,Mobile_options!$E:$E,$G58),IF($Y58="nonpoint",SUMIFS(Nonpoint_options!I:I,Nonpoint_options!$B:$B,$D58,Nonpoint_options!$E:$E,$G58),SUMIFS(Point_options!I:I,Point_options!$B:$B,$D58,Point_options!$E:$E,$G58)))</f>
        <v>3.7370598997232031E-2</v>
      </c>
      <c r="L58" s="168">
        <f>IF($Y58="mobile",SUMIFS(Mobile_options!J:J,Mobile_options!$B:$B,$D58,Mobile_options!$E:$E,$G58),IF($Y58="nonpoint",SUMIFS(Nonpoint_options!J:J,Nonpoint_options!$B:$B,$D58,Nonpoint_options!$E:$E,$G58),SUMIFS(Point_options!J:J,Point_options!$B:$B,$D58,Point_options!$E:$E,$G58)))</f>
        <v>563.7730696879089</v>
      </c>
      <c r="M58" s="92" t="s">
        <v>250</v>
      </c>
      <c r="N58" s="92" t="s">
        <v>250</v>
      </c>
      <c r="O58" s="92" t="s">
        <v>250</v>
      </c>
      <c r="P58" s="92" t="s">
        <v>250</v>
      </c>
      <c r="Q58" s="92" t="s">
        <v>251</v>
      </c>
      <c r="R58" s="92" t="s">
        <v>251</v>
      </c>
      <c r="S58" s="52" t="str">
        <f>IF(ISNA(VLOOKUP($D58,Mobile_state_reductions!$B$4:$X$114,23,FALSE))=TRUE,"",VLOOKUP($D58,Mobile_state_reductions!$B$4:$X$114,23,FALSE))</f>
        <v/>
      </c>
      <c r="T58" s="52" t="str">
        <f t="shared" si="3"/>
        <v>N-18VOC</v>
      </c>
      <c r="U58" s="52">
        <f t="shared" si="4"/>
        <v>51</v>
      </c>
      <c r="V58" s="52" t="str">
        <f>IF(ISNA(VLOOKUP($D58,Nonpoint_state_reductions!$B$4:$X$108,23,FALSE))=TRUE,"",VLOOKUP($D58,Nonpoint_state_reductions!$B$4:$X$108,23,FALSE))</f>
        <v/>
      </c>
      <c r="W58" s="52" t="str">
        <f>IF(ISNA(VLOOKUP($D58,Point_state_reductions!$B$3:$X$117,23,FALSE)),"",VLOOKUP($D58,Point_state_reductions!$B$3:$X$117,23,FALSE))</f>
        <v/>
      </c>
      <c r="Y58" s="185" t="str">
        <f>VLOOKUP(D58,EmissRed_Shortlist!$D$8:$V$111,19,FALSE)</f>
        <v>mobile</v>
      </c>
      <c r="Z58" s="201">
        <f t="shared" si="2"/>
        <v>51</v>
      </c>
    </row>
    <row r="59" spans="1:26" ht="14.4" x14ac:dyDescent="0.3">
      <c r="A59" s="92">
        <v>52</v>
      </c>
      <c r="B59" s="92">
        <f>VLOOKUP(D59,EmissRed_Shortlist!$D$8:$W$87,20,FALSE)</f>
        <v>35</v>
      </c>
      <c r="C59" s="153" t="str">
        <f>VLOOKUP(D59,Shortlist_xref!$A$5:$C$77,2,FALSE)</f>
        <v>EmissRed</v>
      </c>
      <c r="D59" s="57" t="s">
        <v>204</v>
      </c>
      <c r="E59" s="58" t="s">
        <v>216</v>
      </c>
      <c r="F59" s="12" t="s">
        <v>217</v>
      </c>
      <c r="G59" s="57" t="s">
        <v>12</v>
      </c>
      <c r="H59" s="157">
        <f>IF($Y59="mobile",SUMIFS(Mobile_options!F:F,Mobile_options!$B:$B,$D59,Mobile_options!$E:$E,$G59),IF($Y59="nonpoint",SUMIFS(Nonpoint_options!F:F,Nonpoint_options!$B:$B,$D59,Nonpoint_options!$E:$E,$G59),SUMIFS(Point_options!F:F,Point_options!$B:$B,$D59,Point_options!$E:$E,$G59)))</f>
        <v>0.1</v>
      </c>
      <c r="I59" s="154">
        <f>IF($Y59="mobile",SUMIFS(Mobile_options!G:G,Mobile_options!$B:$B,$D59,Mobile_options!$E:$E,$G59),IF($Y59="nonpoint",SUMIFS(Nonpoint_options!G:G,Nonpoint_options!$B:$B,$D59,Nonpoint_options!$E:$E,$G59),SUMIFS(Point_options!G:G,Point_options!$B:$B,$D59,Point_options!$E:$E,$G59)))</f>
        <v>0.27</v>
      </c>
      <c r="J59" s="158" t="str">
        <f>IF(Y59="mobile",VLOOKUP($D59&amp;$G59,Mobile_options!$X$1:$Y$150,2,FALSE),IF(Y59="nonpoint",VLOOKUP($D59&amp;$G59,Nonpoint_options!$W$1:$X$150,2,FALSE),VLOOKUP($D59&amp;$G59,Point_options!$U$1:$V$150,2,FALSE)))</f>
        <v>$17,000/ ton NOx</v>
      </c>
      <c r="K59" s="159">
        <f>IF($Y59="mobile",SUMIFS(Mobile_options!I:I,Mobile_options!$B:$B,$D59,Mobile_options!$E:$E,$G59),IF($Y59="nonpoint",SUMIFS(Nonpoint_options!I:I,Nonpoint_options!$B:$B,$D59,Nonpoint_options!$E:$E,$G59),SUMIFS(Point_options!I:I,Point_options!$B:$B,$D59,Point_options!$E:$E,$G59)))</f>
        <v>5.7096414449347391E-2</v>
      </c>
      <c r="L59" s="168">
        <f>IF($Y59="mobile",SUMIFS(Mobile_options!J:J,Mobile_options!$B:$B,$D59,Mobile_options!$E:$E,$G59),IF($Y59="nonpoint",SUMIFS(Nonpoint_options!J:J,Nonpoint_options!$B:$B,$D59,Nonpoint_options!$E:$E,$G59),SUMIFS(Point_options!J:J,Point_options!$B:$B,$D59,Point_options!$E:$E,$G59)))</f>
        <v>1653.0068216409393</v>
      </c>
      <c r="M59" s="92" t="s">
        <v>250</v>
      </c>
      <c r="N59" s="92" t="s">
        <v>250</v>
      </c>
      <c r="O59" s="92" t="s">
        <v>250</v>
      </c>
      <c r="P59" s="92" t="s">
        <v>250</v>
      </c>
      <c r="Q59" s="92" t="s">
        <v>251</v>
      </c>
      <c r="R59" s="92" t="s">
        <v>251</v>
      </c>
      <c r="S59" s="52" t="str">
        <f>IF(ISNA(VLOOKUP($D59,Mobile_state_reductions!$B$4:$X$114,23,FALSE))=TRUE,"",VLOOKUP($D59,Mobile_state_reductions!$B$4:$X$114,23,FALSE))</f>
        <v/>
      </c>
      <c r="T59" s="52" t="str">
        <f t="shared" si="3"/>
        <v>O-17NOx</v>
      </c>
      <c r="U59" s="52">
        <f t="shared" si="4"/>
        <v>52</v>
      </c>
      <c r="V59" s="52" t="str">
        <f>IF(ISNA(VLOOKUP($D59,Nonpoint_state_reductions!$B$4:$X$108,23,FALSE))=TRUE,"",VLOOKUP($D59,Nonpoint_state_reductions!$B$4:$X$108,23,FALSE))</f>
        <v/>
      </c>
      <c r="W59" s="52" t="str">
        <f>IF(ISNA(VLOOKUP($D59,Point_state_reductions!$B$3:$X$117,23,FALSE)),"",VLOOKUP($D59,Point_state_reductions!$B$3:$X$117,23,FALSE))</f>
        <v/>
      </c>
      <c r="Y59" s="185" t="str">
        <f>VLOOKUP(D59,EmissRed_Shortlist!$D$8:$V$111,19,FALSE)</f>
        <v>mobile</v>
      </c>
      <c r="Z59" s="201">
        <f t="shared" si="2"/>
        <v>52</v>
      </c>
    </row>
    <row r="60" spans="1:26" ht="14.4" x14ac:dyDescent="0.3">
      <c r="A60" s="92">
        <v>53</v>
      </c>
      <c r="B60" s="92">
        <f>VLOOKUP(D60,EmissRed_Shortlist!$D$8:$W$87,20,FALSE)</f>
        <v>21</v>
      </c>
      <c r="C60" s="153" t="str">
        <f>VLOOKUP(D60,Shortlist_xref!$A$5:$C$77,2,FALSE)</f>
        <v>EmissRed</v>
      </c>
      <c r="D60" s="3" t="s">
        <v>203</v>
      </c>
      <c r="E60" s="5" t="s">
        <v>214</v>
      </c>
      <c r="F60" s="5" t="s">
        <v>215</v>
      </c>
      <c r="G60" s="3" t="s">
        <v>12</v>
      </c>
      <c r="H60" s="157">
        <f>IF($Y60="mobile",SUMIFS(Mobile_options!F:F,Mobile_options!$B:$B,$D60,Mobile_options!$E:$E,$G60),IF($Y60="nonpoint",SUMIFS(Nonpoint_options!F:F,Nonpoint_options!$B:$B,$D60,Nonpoint_options!$E:$E,$G60),SUMIFS(Point_options!F:F,Point_options!$B:$B,$D60,Point_options!$E:$E,$G60)))</f>
        <v>0.5</v>
      </c>
      <c r="I60" s="154">
        <f>IF($Y60="mobile",SUMIFS(Mobile_options!G:G,Mobile_options!$B:$B,$D60,Mobile_options!$E:$E,$G60),IF($Y60="nonpoint",SUMIFS(Nonpoint_options!G:G,Nonpoint_options!$B:$B,$D60,Nonpoint_options!$E:$E,$G60),SUMIFS(Point_options!G:G,Point_options!$B:$B,$D60,Point_options!$E:$E,$G60)))</f>
        <v>7.4999999999999997E-2</v>
      </c>
      <c r="J60" s="158" t="str">
        <f>IF(Y60="mobile",VLOOKUP($D60&amp;$G60,Mobile_options!$X$1:$Y$150,2,FALSE),IF(Y60="nonpoint",VLOOKUP($D60&amp;$G60,Nonpoint_options!$W$1:$X$150,2,FALSE),VLOOKUP($D60&amp;$G60,Point_options!$U$1:$V$150,2,FALSE)))</f>
        <v>$50,000/ton NOx</v>
      </c>
      <c r="K60" s="159">
        <f>IF($Y60="mobile",SUMIFS(Mobile_options!I:I,Mobile_options!$B:$B,$D60,Mobile_options!$E:$E,$G60),IF($Y60="nonpoint",SUMIFS(Nonpoint_options!I:I,Nonpoint_options!$B:$B,$D60,Nonpoint_options!$E:$E,$G60),SUMIFS(Point_options!I:I,Point_options!$B:$B,$D60,Point_options!$E:$E,$G60)))</f>
        <v>9.054585578834265E-2</v>
      </c>
      <c r="L60" s="168">
        <f>IF($Y60="mobile",SUMIFS(Mobile_options!J:J,Mobile_options!$B:$B,$D60,Mobile_options!$E:$E,$G60),IF($Y60="nonpoint",SUMIFS(Nonpoint_options!J:J,Nonpoint_options!$B:$B,$D60,Nonpoint_options!$E:$E,$G60),SUMIFS(Point_options!J:J,Point_options!$B:$B,$D60,Point_options!$E:$E,$G60)))</f>
        <v>3640.8424906491618</v>
      </c>
      <c r="M60" s="92" t="s">
        <v>250</v>
      </c>
      <c r="N60" s="92" t="s">
        <v>250</v>
      </c>
      <c r="O60" s="92" t="s">
        <v>250</v>
      </c>
      <c r="P60" s="92" t="s">
        <v>250</v>
      </c>
      <c r="Q60" s="92" t="s">
        <v>253</v>
      </c>
      <c r="R60" s="92" t="s">
        <v>251</v>
      </c>
      <c r="S60" s="52" t="str">
        <f>IF(ISNA(VLOOKUP($D60,Mobile_state_reductions!$B$4:$X$114,23,FALSE))=TRUE,"",VLOOKUP($D60,Mobile_state_reductions!$B$4:$X$114,23,FALSE))</f>
        <v/>
      </c>
      <c r="T60" s="52" t="str">
        <f t="shared" si="3"/>
        <v>O-12NOx</v>
      </c>
      <c r="U60" s="52">
        <f t="shared" si="4"/>
        <v>53</v>
      </c>
      <c r="V60" s="52" t="str">
        <f>IF(ISNA(VLOOKUP($D60,Nonpoint_state_reductions!$B$4:$X$108,23,FALSE))=TRUE,"",VLOOKUP($D60,Nonpoint_state_reductions!$B$4:$X$108,23,FALSE))</f>
        <v/>
      </c>
      <c r="W60" s="52" t="str">
        <f>IF(ISNA(VLOOKUP($D60,Point_state_reductions!$B$3:$X$117,23,FALSE)),"",VLOOKUP($D60,Point_state_reductions!$B$3:$X$117,23,FALSE))</f>
        <v/>
      </c>
      <c r="Y60" s="185" t="str">
        <f>VLOOKUP(D60,EmissRed_Shortlist!$D$8:$V$111,19,FALSE)</f>
        <v>mobile</v>
      </c>
      <c r="Z60" s="201">
        <f t="shared" si="2"/>
        <v>53</v>
      </c>
    </row>
    <row r="61" spans="1:26" ht="14.4" x14ac:dyDescent="0.3">
      <c r="A61" s="92">
        <v>54</v>
      </c>
      <c r="B61" s="92">
        <f>VLOOKUP(D61,EmissRed_Shortlist!$D$8:$W$87,20,FALSE)</f>
        <v>29</v>
      </c>
      <c r="C61" s="153" t="str">
        <f>VLOOKUP(D61,Shortlist_xref!$A$5:$C$77,2,FALSE)</f>
        <v>EmissRed</v>
      </c>
      <c r="D61" s="3" t="s">
        <v>156</v>
      </c>
      <c r="E61" s="5" t="s">
        <v>157</v>
      </c>
      <c r="F61" s="5" t="s">
        <v>158</v>
      </c>
      <c r="G61" s="3" t="s">
        <v>12</v>
      </c>
      <c r="H61" s="157">
        <f>IF($Y61="mobile",SUMIFS(Mobile_options!F:F,Mobile_options!$B:$B,$D61,Mobile_options!$E:$E,$G61),IF($Y61="nonpoint",SUMIFS(Nonpoint_options!F:F,Nonpoint_options!$B:$B,$D61,Nonpoint_options!$E:$E,$G61),SUMIFS(Point_options!F:F,Point_options!$B:$B,$D61,Point_options!$E:$E,$G61)))</f>
        <v>0.1</v>
      </c>
      <c r="I61" s="154">
        <f>IF($Y61="mobile",SUMIFS(Mobile_options!G:G,Mobile_options!$B:$B,$D61,Mobile_options!$E:$E,$G61),IF($Y61="nonpoint",SUMIFS(Nonpoint_options!G:G,Nonpoint_options!$B:$B,$D61,Nonpoint_options!$E:$E,$G61),SUMIFS(Point_options!G:G,Point_options!$B:$B,$D61,Point_options!$E:$E,$G61)))</f>
        <v>0.31</v>
      </c>
      <c r="J61" s="158" t="str">
        <f>IF(Y61="mobile",VLOOKUP($D61&amp;$G61,Mobile_options!$X$1:$Y$150,2,FALSE),IF(Y61="nonpoint",VLOOKUP($D61&amp;$G61,Nonpoint_options!$W$1:$X$150,2,FALSE),VLOOKUP($D61&amp;$G61,Point_options!$U$1:$V$150,2,FALSE)))</f>
        <v>$80,506 /ton NOx</v>
      </c>
      <c r="K61" s="159">
        <f>IF($Y61="mobile",SUMIFS(Mobile_options!I:I,Mobile_options!$B:$B,$D61,Mobile_options!$E:$E,$G61),IF($Y61="nonpoint",SUMIFS(Nonpoint_options!I:I,Nonpoint_options!$B:$B,$D61,Nonpoint_options!$E:$E,$G61),SUMIFS(Point_options!I:I,Point_options!$B:$B,$D61,Point_options!$E:$E,$G61)))</f>
        <v>7.2076661475179771E-2</v>
      </c>
      <c r="L61" s="168">
        <f>IF($Y61="mobile",SUMIFS(Mobile_options!J:J,Mobile_options!$B:$B,$D61,Mobile_options!$E:$E,$G61),IF($Y61="nonpoint",SUMIFS(Nonpoint_options!J:J,Nonpoint_options!$B:$B,$D61,Nonpoint_options!$E:$E,$G61),SUMIFS(Point_options!J:J,Point_options!$B:$B,$D61,Point_options!$E:$E,$G61)))</f>
        <v>2395.8432557276437</v>
      </c>
      <c r="M61" s="92" t="s">
        <v>250</v>
      </c>
      <c r="N61" s="92" t="s">
        <v>250</v>
      </c>
      <c r="O61" s="92" t="s">
        <v>250</v>
      </c>
      <c r="P61" s="92" t="s">
        <v>250</v>
      </c>
      <c r="Q61" s="92" t="s">
        <v>253</v>
      </c>
      <c r="R61" s="92" t="s">
        <v>251</v>
      </c>
      <c r="S61" s="52" t="str">
        <f>IF(ISNA(VLOOKUP($D61,Mobile_state_reductions!$B$4:$X$114,23,FALSE))=TRUE,"",VLOOKUP($D61,Mobile_state_reductions!$B$4:$X$114,23,FALSE))</f>
        <v/>
      </c>
      <c r="T61" s="52" t="str">
        <f t="shared" si="3"/>
        <v>O-16NOx</v>
      </c>
      <c r="U61" s="52">
        <f t="shared" si="4"/>
        <v>54</v>
      </c>
      <c r="V61" s="52" t="str">
        <f>IF(ISNA(VLOOKUP($D61,Nonpoint_state_reductions!$B$4:$X$108,23,FALSE))=TRUE,"",VLOOKUP($D61,Nonpoint_state_reductions!$B$4:$X$108,23,FALSE))</f>
        <v/>
      </c>
      <c r="W61" s="52" t="str">
        <f>IF(ISNA(VLOOKUP($D61,Point_state_reductions!$B$3:$X$117,23,FALSE)),"",VLOOKUP($D61,Point_state_reductions!$B$3:$X$117,23,FALSE))</f>
        <v/>
      </c>
      <c r="Y61" s="185" t="str">
        <f>VLOOKUP(D61,EmissRed_Shortlist!$D$8:$V$111,19,FALSE)</f>
        <v>mobile</v>
      </c>
      <c r="Z61" s="201">
        <f t="shared" si="2"/>
        <v>54</v>
      </c>
    </row>
    <row r="62" spans="1:26" ht="24.2" x14ac:dyDescent="0.3">
      <c r="A62" s="92">
        <v>55</v>
      </c>
      <c r="B62" s="92">
        <f>VLOOKUP(D62,EmissRed_Shortlist!$D$8:$W$87,20,FALSE)</f>
        <v>59</v>
      </c>
      <c r="C62" s="153" t="str">
        <f>VLOOKUP(D62,Shortlist_xref!$A$5:$C$77,2,FALSE)</f>
        <v>R-Select</v>
      </c>
      <c r="D62" s="3" t="s">
        <v>189</v>
      </c>
      <c r="E62" s="5" t="s">
        <v>181</v>
      </c>
      <c r="F62" s="5" t="s">
        <v>208</v>
      </c>
      <c r="G62" s="3" t="s">
        <v>12</v>
      </c>
      <c r="H62" s="157">
        <f>IF($Y62="mobile",SUMIFS(Mobile_options!F:F,Mobile_options!$B:$B,$D62,Mobile_options!$E:$E,$G62),IF($Y62="nonpoint",SUMIFS(Nonpoint_options!F:F,Nonpoint_options!$B:$B,$D62,Nonpoint_options!$E:$E,$G62),SUMIFS(Point_options!F:F,Point_options!$B:$B,$D62,Point_options!$E:$E,$G62)))</f>
        <v>0.01</v>
      </c>
      <c r="I62" s="154">
        <f>IF($Y62="mobile",SUMIFS(Mobile_options!G:G,Mobile_options!$B:$B,$D62,Mobile_options!$E:$E,$G62),IF($Y62="nonpoint",SUMIFS(Nonpoint_options!G:G,Nonpoint_options!$B:$B,$D62,Nonpoint_options!$E:$E,$G62),SUMIFS(Point_options!G:G,Point_options!$B:$B,$D62,Point_options!$E:$E,$G62)))</f>
        <v>0.126</v>
      </c>
      <c r="J62" s="158" t="str">
        <f>IF(Y62="mobile",VLOOKUP($D62&amp;$G62,Mobile_options!$X$1:$Y$150,2,FALSE),IF(Y62="nonpoint",VLOOKUP($D62&amp;$G62,Nonpoint_options!$W$1:$X$150,2,FALSE),VLOOKUP($D62&amp;$G62,Point_options!$U$1:$V$150,2,FALSE)))</f>
        <v>$32,000 per ton of NOx and VOC</v>
      </c>
      <c r="K62" s="159">
        <f>IF($Y62="mobile",SUMIFS(Mobile_options!I:I,Mobile_options!$B:$B,$D62,Mobile_options!$E:$E,$G62),IF($Y62="nonpoint",SUMIFS(Nonpoint_options!I:I,Nonpoint_options!$B:$B,$D62,Nonpoint_options!$E:$E,$G62),SUMIFS(Point_options!I:I,Point_options!$B:$B,$D62,Point_options!$E:$E,$G62)))</f>
        <v>9.7099050388806174E-2</v>
      </c>
      <c r="L62" s="168">
        <f>IF($Y62="mobile",SUMIFS(Mobile_options!J:J,Mobile_options!$B:$B,$D62,Mobile_options!$E:$E,$G62),IF($Y62="nonpoint",SUMIFS(Nonpoint_options!J:J,Nonpoint_options!$B:$B,$D62,Nonpoint_options!$E:$E,$G62),SUMIFS(Point_options!J:J,Point_options!$B:$B,$D62,Point_options!$E:$E,$G62)))</f>
        <v>131.18602507805622</v>
      </c>
      <c r="M62" s="92" t="s">
        <v>250</v>
      </c>
      <c r="N62" s="92" t="s">
        <v>250</v>
      </c>
      <c r="O62" s="92" t="s">
        <v>250</v>
      </c>
      <c r="P62" s="92" t="s">
        <v>250</v>
      </c>
      <c r="Q62" s="92" t="s">
        <v>253</v>
      </c>
      <c r="R62" s="92" t="s">
        <v>253</v>
      </c>
      <c r="S62" s="52" t="str">
        <f>IF(ISNA(VLOOKUP($D62,Mobile_state_reductions!$B$4:$X$114,23,FALSE))=TRUE,"",VLOOKUP($D62,Mobile_state_reductions!$B$4:$X$114,23,FALSE))</f>
        <v/>
      </c>
      <c r="T62" s="52" t="str">
        <f t="shared" si="3"/>
        <v>O-39NOx</v>
      </c>
      <c r="U62" s="52">
        <f t="shared" si="4"/>
        <v>55</v>
      </c>
      <c r="V62" s="52" t="str">
        <f>IF(ISNA(VLOOKUP($D62,Nonpoint_state_reductions!$B$4:$X$108,23,FALSE))=TRUE,"",VLOOKUP($D62,Nonpoint_state_reductions!$B$4:$X$108,23,FALSE))</f>
        <v/>
      </c>
      <c r="W62" s="52" t="str">
        <f>IF(ISNA(VLOOKUP($D62,Point_state_reductions!$B$3:$X$117,23,FALSE)),"",VLOOKUP($D62,Point_state_reductions!$B$3:$X$117,23,FALSE))</f>
        <v/>
      </c>
      <c r="Y62" s="185" t="str">
        <f>VLOOKUP(D62,EmissRed_Shortlist!$D$8:$V$111,19,FALSE)</f>
        <v>mobile</v>
      </c>
      <c r="Z62" s="201">
        <f t="shared" si="2"/>
        <v>55</v>
      </c>
    </row>
    <row r="63" spans="1:26" ht="24.2" x14ac:dyDescent="0.3">
      <c r="A63" s="92">
        <v>56</v>
      </c>
      <c r="B63" s="92">
        <f>VLOOKUP(D63,EmissRed_Shortlist!$D$8:$W$87,20,FALSE)</f>
        <v>40</v>
      </c>
      <c r="C63" s="153" t="str">
        <f>VLOOKUP(D63,Shortlist_xref!$A$5:$C$77,2,FALSE)</f>
        <v>R-Select</v>
      </c>
      <c r="D63" s="3" t="s">
        <v>146</v>
      </c>
      <c r="E63" s="5" t="s">
        <v>147</v>
      </c>
      <c r="F63" s="5" t="s">
        <v>148</v>
      </c>
      <c r="G63" s="3" t="s">
        <v>12</v>
      </c>
      <c r="H63" s="157">
        <f>IF($Y63="mobile",SUMIFS(Mobile_options!F:F,Mobile_options!$B:$B,$D63,Mobile_options!$E:$E,$G63),IF($Y63="nonpoint",SUMIFS(Nonpoint_options!F:F,Nonpoint_options!$B:$B,$D63,Nonpoint_options!$E:$E,$G63),SUMIFS(Point_options!F:F,Point_options!$B:$B,$D63,Point_options!$E:$E,$G63)))</f>
        <v>0.01</v>
      </c>
      <c r="I63" s="154">
        <f>IF($Y63="mobile",SUMIFS(Mobile_options!G:G,Mobile_options!$B:$B,$D63,Mobile_options!$E:$E,$G63),IF($Y63="nonpoint",SUMIFS(Nonpoint_options!G:G,Nonpoint_options!$B:$B,$D63,Nonpoint_options!$E:$E,$G63),SUMIFS(Point_options!G:G,Point_options!$B:$B,$D63,Point_options!$E:$E,$G63)))</f>
        <v>0.52</v>
      </c>
      <c r="J63" s="158" t="str">
        <f>IF(Y63="mobile",VLOOKUP($D63&amp;$G63,Mobile_options!$X$1:$Y$150,2,FALSE),IF(Y63="nonpoint",VLOOKUP($D63&amp;$G63,Nonpoint_options!$W$1:$X$150,2,FALSE),VLOOKUP($D63&amp;$G63,Point_options!$U$1:$V$150,2,FALSE)))</f>
        <v>$26,287-46,062/ton NOx+VOC</v>
      </c>
      <c r="K63" s="159">
        <f>IF($Y63="mobile",SUMIFS(Mobile_options!I:I,Mobile_options!$B:$B,$D63,Mobile_options!$E:$E,$G63),IF($Y63="nonpoint",SUMIFS(Nonpoint_options!I:I,Nonpoint_options!$B:$B,$D63,Nonpoint_options!$E:$E,$G63),SUMIFS(Point_options!I:I,Point_options!$B:$B,$D63,Point_options!$E:$E,$G63)))</f>
        <v>0.10025591063278323</v>
      </c>
      <c r="L63" s="168">
        <f>IF($Y63="mobile",SUMIFS(Mobile_options!J:J,Mobile_options!$B:$B,$D63,Mobile_options!$E:$E,$G63),IF($Y63="nonpoint",SUMIFS(Nonpoint_options!J:J,Nonpoint_options!$B:$B,$D63,Nonpoint_options!$E:$E,$G63),SUMIFS(Point_options!J:J,Point_options!$B:$B,$D63,Point_options!$E:$E,$G63)))</f>
        <v>559.00459163699406</v>
      </c>
      <c r="M63" s="92" t="s">
        <v>250</v>
      </c>
      <c r="N63" s="92" t="s">
        <v>250</v>
      </c>
      <c r="O63" s="92" t="s">
        <v>250</v>
      </c>
      <c r="P63" s="92" t="s">
        <v>250</v>
      </c>
      <c r="Q63" s="92" t="s">
        <v>253</v>
      </c>
      <c r="R63" s="92" t="s">
        <v>251</v>
      </c>
      <c r="S63" s="52" t="str">
        <f>IF(ISNA(VLOOKUP($D63,Mobile_state_reductions!$B$4:$X$114,23,FALSE))=TRUE,"",VLOOKUP($D63,Mobile_state_reductions!$B$4:$X$114,23,FALSE))</f>
        <v/>
      </c>
      <c r="T63" s="52" t="str">
        <f t="shared" si="3"/>
        <v>O-5, O-6NOx</v>
      </c>
      <c r="U63" s="52">
        <f t="shared" si="4"/>
        <v>56</v>
      </c>
      <c r="V63" s="52" t="str">
        <f>IF(ISNA(VLOOKUP($D63,Nonpoint_state_reductions!$B$4:$X$108,23,FALSE))=TRUE,"",VLOOKUP($D63,Nonpoint_state_reductions!$B$4:$X$108,23,FALSE))</f>
        <v/>
      </c>
      <c r="W63" s="52" t="str">
        <f>IF(ISNA(VLOOKUP($D63,Point_state_reductions!$B$3:$X$117,23,FALSE)),"",VLOOKUP($D63,Point_state_reductions!$B$3:$X$117,23,FALSE))</f>
        <v/>
      </c>
      <c r="Y63" s="185" t="str">
        <f>VLOOKUP(D63,EmissRed_Shortlist!$D$8:$V$111,19,FALSE)</f>
        <v>mobile</v>
      </c>
      <c r="Z63" s="201">
        <f t="shared" si="2"/>
        <v>56</v>
      </c>
    </row>
    <row r="64" spans="1:26" ht="24.2" x14ac:dyDescent="0.3">
      <c r="A64" s="92">
        <v>57</v>
      </c>
      <c r="B64" s="92">
        <f>VLOOKUP(D64,EmissRed_Shortlist!$D$8:$W$87,20,FALSE)</f>
        <v>40</v>
      </c>
      <c r="C64" s="153" t="str">
        <f>VLOOKUP(D64,Shortlist_xref!$A$5:$C$77,2,FALSE)</f>
        <v>R-Select</v>
      </c>
      <c r="D64" s="57" t="s">
        <v>146</v>
      </c>
      <c r="E64" s="58" t="s">
        <v>147</v>
      </c>
      <c r="F64" s="12" t="s">
        <v>148</v>
      </c>
      <c r="G64" s="57" t="s">
        <v>53</v>
      </c>
      <c r="H64" s="157">
        <f>IF($Y64="mobile",SUMIFS(Mobile_options!F:F,Mobile_options!$B:$B,$D64,Mobile_options!$E:$E,$G64),IF($Y64="nonpoint",SUMIFS(Nonpoint_options!F:F,Nonpoint_options!$B:$B,$D64,Nonpoint_options!$E:$E,$G64),SUMIFS(Point_options!F:F,Point_options!$B:$B,$D64,Point_options!$E:$E,$G64)))</f>
        <v>0.01</v>
      </c>
      <c r="I64" s="154">
        <f>IF($Y64="mobile",SUMIFS(Mobile_options!G:G,Mobile_options!$B:$B,$D64,Mobile_options!$E:$E,$G64),IF($Y64="nonpoint",SUMIFS(Nonpoint_options!G:G,Nonpoint_options!$B:$B,$D64,Nonpoint_options!$E:$E,$G64),SUMIFS(Point_options!G:G,Point_options!$B:$B,$D64,Point_options!$E:$E,$G64)))</f>
        <v>0.65</v>
      </c>
      <c r="J64" s="158" t="str">
        <f>IF(Y64="mobile",VLOOKUP($D64&amp;$G64,Mobile_options!$X$1:$Y$150,2,FALSE),IF(Y64="nonpoint",VLOOKUP($D64&amp;$G64,Nonpoint_options!$W$1:$X$150,2,FALSE),VLOOKUP($D64&amp;$G64,Point_options!$U$1:$V$150,2,FALSE)))</f>
        <v>$26,287-46,062/ton NOx+VOC</v>
      </c>
      <c r="K64" s="159">
        <f>IF($Y64="mobile",SUMIFS(Mobile_options!I:I,Mobile_options!$B:$B,$D64,Mobile_options!$E:$E,$G64),IF($Y64="nonpoint",SUMIFS(Nonpoint_options!I:I,Nonpoint_options!$B:$B,$D64,Nonpoint_options!$E:$E,$G64),SUMIFS(Point_options!I:I,Point_options!$B:$B,$D64,Point_options!$E:$E,$G64)))</f>
        <v>9.1860264959932922E-2</v>
      </c>
      <c r="L64" s="168">
        <f>IF($Y64="mobile",SUMIFS(Mobile_options!J:J,Mobile_options!$B:$B,$D64,Mobile_options!$E:$E,$G64),IF($Y64="nonpoint",SUMIFS(Nonpoint_options!J:J,Nonpoint_options!$B:$B,$D64,Nonpoint_options!$E:$E,$G64),SUMIFS(Point_options!J:J,Point_options!$B:$B,$D64,Point_options!$E:$E,$G64)))</f>
        <v>900.77291283763486</v>
      </c>
      <c r="M64" s="92" t="s">
        <v>250</v>
      </c>
      <c r="N64" s="92" t="s">
        <v>250</v>
      </c>
      <c r="O64" s="92" t="s">
        <v>250</v>
      </c>
      <c r="P64" s="92" t="s">
        <v>250</v>
      </c>
      <c r="Q64" s="92" t="s">
        <v>253</v>
      </c>
      <c r="R64" s="92" t="s">
        <v>251</v>
      </c>
      <c r="S64" s="52" t="str">
        <f>IF(ISNA(VLOOKUP($D64,Mobile_state_reductions!$B$4:$X$114,23,FALSE))=TRUE,"",VLOOKUP($D64,Mobile_state_reductions!$B$4:$X$114,23,FALSE))</f>
        <v/>
      </c>
      <c r="T64" s="52" t="str">
        <f t="shared" si="3"/>
        <v>O-5, O-6VOC</v>
      </c>
      <c r="U64" s="52">
        <f t="shared" si="4"/>
        <v>57</v>
      </c>
      <c r="V64" s="52" t="str">
        <f>IF(ISNA(VLOOKUP($D64,Nonpoint_state_reductions!$B$4:$X$108,23,FALSE))=TRUE,"",VLOOKUP($D64,Nonpoint_state_reductions!$B$4:$X$108,23,FALSE))</f>
        <v/>
      </c>
      <c r="W64" s="52" t="str">
        <f>IF(ISNA(VLOOKUP($D64,Point_state_reductions!$B$3:$X$117,23,FALSE)),"",VLOOKUP($D64,Point_state_reductions!$B$3:$X$117,23,FALSE))</f>
        <v/>
      </c>
      <c r="Y64" s="185" t="str">
        <f>VLOOKUP(D64,EmissRed_Shortlist!$D$8:$V$111,19,FALSE)</f>
        <v>mobile</v>
      </c>
      <c r="Z64" s="201">
        <f t="shared" si="2"/>
        <v>57</v>
      </c>
    </row>
    <row r="65" spans="1:26" ht="24.2" x14ac:dyDescent="0.3">
      <c r="A65" s="166">
        <v>58</v>
      </c>
      <c r="B65" s="166">
        <f>VLOOKUP(D65,EmissRed_Shortlist!$D$8:$W$87,20,FALSE)</f>
        <v>17</v>
      </c>
      <c r="C65" s="160" t="str">
        <f>VLOOKUP(D65,Shortlist_xref!$A$5:$C$77,2,FALSE)</f>
        <v>EmissRed</v>
      </c>
      <c r="D65" s="113" t="s">
        <v>355</v>
      </c>
      <c r="E65" s="114" t="s">
        <v>356</v>
      </c>
      <c r="F65" s="114" t="s">
        <v>357</v>
      </c>
      <c r="G65" s="113" t="s">
        <v>12</v>
      </c>
      <c r="H65" s="161">
        <f>IF($Y65="mobile",SUMIFS(Mobile_options!F:F,Mobile_options!$B:$B,$D65,Mobile_options!$E:$E,$G65),IF($Y65="nonpoint",SUMIFS(Nonpoint_options!F:F,Nonpoint_options!$B:$B,$D65,Nonpoint_options!$E:$E,$G65),SUMIFS(Point_options!F:F,Point_options!$B:$B,$D65,Point_options!$E:$E,$G65)))</f>
        <v>0.01</v>
      </c>
      <c r="I65" s="162">
        <f>IF($Y65="mobile",SUMIFS(Mobile_options!G:G,Mobile_options!$B:$B,$D65,Mobile_options!$E:$E,$G65),IF($Y65="nonpoint",SUMIFS(Nonpoint_options!G:G,Nonpoint_options!$B:$B,$D65,Nonpoint_options!$E:$E,$G65),SUMIFS(Point_options!G:G,Point_options!$B:$B,$D65,Point_options!$E:$E,$G65)))</f>
        <v>1</v>
      </c>
      <c r="J65" s="163">
        <f>IF(Y65="mobile",VLOOKUP($D65&amp;$G65,Mobile_options!$X$1:$Y$150,2,FALSE),IF(Y65="nonpoint",VLOOKUP($D65&amp;$G65,Nonpoint_options!$W$1:$X$150,2,FALSE),VLOOKUP($D65&amp;$G65,Point_options!$U$1:$V$150,2,FALSE)))</f>
        <v>53000</v>
      </c>
      <c r="K65" s="164">
        <f>IF($Y65="mobile",SUMIFS(Mobile_options!I:I,Mobile_options!$B:$B,$D65,Mobile_options!$E:$E,$G65),IF($Y65="nonpoint",SUMIFS(Nonpoint_options!I:I,Nonpoint_options!$B:$B,$D65,Nonpoint_options!$E:$E,$G65),SUMIFS(Point_options!I:I,Point_options!$B:$B,$D65,Point_options!$E:$E,$G65)))</f>
        <v>2.1120524581103076E-3</v>
      </c>
      <c r="L65" s="169">
        <f>IF($Y65="mobile",SUMIFS(Mobile_options!J:J,Mobile_options!$B:$B,$D65,Mobile_options!$E:$E,$G65),IF($Y65="nonpoint",SUMIFS(Nonpoint_options!J:J,Nonpoint_options!$B:$B,$D65,Nonpoint_options!$E:$E,$G65),SUMIFS(Point_options!J:J,Point_options!$B:$B,$D65,Point_options!$E:$E,$G65)))</f>
        <v>4078.8044186769512</v>
      </c>
      <c r="M65" s="160" t="s">
        <v>250</v>
      </c>
      <c r="N65" s="160" t="s">
        <v>250</v>
      </c>
      <c r="O65" s="160" t="s">
        <v>263</v>
      </c>
      <c r="P65" s="160" t="s">
        <v>250</v>
      </c>
      <c r="Q65" s="160" t="s">
        <v>253</v>
      </c>
      <c r="R65" s="160" t="s">
        <v>251</v>
      </c>
      <c r="T65" s="52" t="str">
        <f t="shared" si="3"/>
        <v>P - 61NOx</v>
      </c>
      <c r="Y65" s="185" t="s">
        <v>351</v>
      </c>
      <c r="Z65" s="201">
        <f t="shared" si="2"/>
        <v>58</v>
      </c>
    </row>
    <row r="66" spans="1:26" ht="24.2" x14ac:dyDescent="0.3">
      <c r="A66" s="92">
        <v>59</v>
      </c>
      <c r="B66" s="92">
        <f>VLOOKUP(D66,EmissRed_Shortlist!$D$8:$W$87,20,FALSE)</f>
        <v>13</v>
      </c>
      <c r="C66" s="153" t="str">
        <f>VLOOKUP(D66,Shortlist_xref!$A$5:$C$77,2,FALSE)</f>
        <v>EmissRed</v>
      </c>
      <c r="D66" s="57" t="s">
        <v>81</v>
      </c>
      <c r="E66" s="58" t="s">
        <v>82</v>
      </c>
      <c r="F66" s="12" t="s">
        <v>83</v>
      </c>
      <c r="G66" s="57" t="s">
        <v>12</v>
      </c>
      <c r="H66" s="157">
        <f>IF($Y66="mobile",SUMIFS(Mobile_options!F:F,Mobile_options!$B:$B,$D66,Mobile_options!$E:$E,$G66),IF($Y66="nonpoint",SUMIFS(Nonpoint_options!F:F,Nonpoint_options!$B:$B,$D66,Nonpoint_options!$E:$E,$G66),SUMIFS(Point_options!F:F,Point_options!$B:$B,$D66,Point_options!$E:$E,$G66)))</f>
        <v>0.1</v>
      </c>
      <c r="I66" s="154">
        <f>IF($Y66="mobile",SUMIFS(Mobile_options!G:G,Mobile_options!$B:$B,$D66,Mobile_options!$E:$E,$G66),IF($Y66="nonpoint",SUMIFS(Nonpoint_options!G:G,Nonpoint_options!$B:$B,$D66,Nonpoint_options!$E:$E,$G66),SUMIFS(Point_options!G:G,Point_options!$B:$B,$D66,Point_options!$E:$E,$G66)))</f>
        <v>0.96</v>
      </c>
      <c r="J66" s="158" t="str">
        <f>IF(Y66="mobile",VLOOKUP($D66&amp;$G66,Mobile_options!$X$1:$Y$150,2,FALSE),IF(Y66="nonpoint",VLOOKUP($D66&amp;$G66,Nonpoint_options!$W$1:$X$150,2,FALSE),VLOOKUP($D66&amp;$G66,Point_options!$U$1:$V$150,2,FALSE)))</f>
        <v>$20,000 - $200,000/ton</v>
      </c>
      <c r="K66" s="159">
        <f>IF($Y66="mobile",SUMIFS(Mobile_options!I:I,Mobile_options!$B:$B,$D66,Mobile_options!$E:$E,$G66),IF($Y66="nonpoint",SUMIFS(Nonpoint_options!I:I,Nonpoint_options!$B:$B,$D66,Nonpoint_options!$E:$E,$G66),SUMIFS(Point_options!I:I,Point_options!$B:$B,$D66,Point_options!$E:$E,$G66)))</f>
        <v>4.8074418668984459E-2</v>
      </c>
      <c r="L66" s="168">
        <f>IF($Y66="mobile",SUMIFS(Mobile_options!J:J,Mobile_options!$B:$B,$D66,Mobile_options!$E:$E,$G66),IF($Y66="nonpoint",SUMIFS(Nonpoint_options!J:J,Nonpoint_options!$B:$B,$D66,Nonpoint_options!$E:$E,$G66),SUMIFS(Point_options!J:J,Point_options!$B:$B,$D66,Point_options!$E:$E,$G66)))</f>
        <v>4948.6566202196727</v>
      </c>
      <c r="M66" s="92" t="s">
        <v>250</v>
      </c>
      <c r="N66" s="92" t="s">
        <v>250</v>
      </c>
      <c r="O66" s="92" t="s">
        <v>262</v>
      </c>
      <c r="P66" s="92" t="s">
        <v>250</v>
      </c>
      <c r="Q66" s="92" t="s">
        <v>253</v>
      </c>
      <c r="R66" s="92" t="s">
        <v>253</v>
      </c>
      <c r="S66" s="52" t="str">
        <f>IF(ISNA(VLOOKUP($D66,Mobile_state_reductions!$B$4:$X$114,23,FALSE))=TRUE,"",VLOOKUP($D66,Mobile_state_reductions!$B$4:$X$114,23,FALSE))</f>
        <v/>
      </c>
      <c r="T66" s="52" t="str">
        <f t="shared" si="3"/>
        <v>NP - 5NOx</v>
      </c>
      <c r="U66" s="52">
        <f t="shared" si="4"/>
        <v>59</v>
      </c>
      <c r="V66" s="52" t="str">
        <f>IF(ISNA(VLOOKUP($D66,Nonpoint_state_reductions!$B$4:$X$108,23,FALSE))=TRUE,"",VLOOKUP($D66,Nonpoint_state_reductions!$B$4:$X$108,23,FALSE))</f>
        <v>ILINMIMNOHWI</v>
      </c>
      <c r="W66" s="52" t="str">
        <f>IF(ISNA(VLOOKUP($D66,Point_state_reductions!$B$3:$X$117,23,FALSE)),"",VLOOKUP($D66,Point_state_reductions!$B$3:$X$117,23,FALSE))</f>
        <v/>
      </c>
      <c r="Y66" s="185" t="str">
        <f>VLOOKUP(D66,EmissRed_Shortlist!$D$8:$V$111,19,FALSE)</f>
        <v>nonpoint</v>
      </c>
      <c r="Z66" s="201">
        <f t="shared" si="2"/>
        <v>59</v>
      </c>
    </row>
    <row r="67" spans="1:26" ht="24.2" x14ac:dyDescent="0.3">
      <c r="A67" s="92">
        <v>60</v>
      </c>
      <c r="B67" s="92">
        <f>VLOOKUP(D67,EmissRed_Shortlist!$D$8:$W$87,20,FALSE)</f>
        <v>59</v>
      </c>
      <c r="C67" s="153" t="str">
        <f>VLOOKUP(D67,Shortlist_xref!$A$5:$C$77,2,FALSE)</f>
        <v>R-Select</v>
      </c>
      <c r="D67" s="57" t="s">
        <v>189</v>
      </c>
      <c r="E67" s="58" t="s">
        <v>181</v>
      </c>
      <c r="F67" s="12" t="s">
        <v>208</v>
      </c>
      <c r="G67" s="57" t="s">
        <v>53</v>
      </c>
      <c r="H67" s="157">
        <f>IF($Y67="mobile",SUMIFS(Mobile_options!F:F,Mobile_options!$B:$B,$D67,Mobile_options!$E:$E,$G67),IF($Y67="nonpoint",SUMIFS(Nonpoint_options!F:F,Nonpoint_options!$B:$B,$D67,Nonpoint_options!$E:$E,$G67),SUMIFS(Point_options!F:F,Point_options!$B:$B,$D67,Point_options!$E:$E,$G67)))</f>
        <v>0.01</v>
      </c>
      <c r="I67" s="154">
        <f>IF($Y67="mobile",SUMIFS(Mobile_options!G:G,Mobile_options!$B:$B,$D67,Mobile_options!$E:$E,$G67),IF($Y67="nonpoint",SUMIFS(Nonpoint_options!G:G,Nonpoint_options!$B:$B,$D67,Nonpoint_options!$E:$E,$G67),SUMIFS(Point_options!G:G,Point_options!$B:$B,$D67,Point_options!$E:$E,$G67)))</f>
        <v>7.5499999999999998E-2</v>
      </c>
      <c r="J67" s="158" t="str">
        <f>IF(Y67="mobile",VLOOKUP($D67&amp;$G67,Mobile_options!$X$1:$Y$150,2,FALSE),IF(Y67="nonpoint",VLOOKUP($D67&amp;$G67,Nonpoint_options!$W$1:$X$150,2,FALSE),VLOOKUP($D67&amp;$G67,Point_options!$U$1:$V$150,2,FALSE)))</f>
        <v>$5,800-176,000/ton VOC</v>
      </c>
      <c r="K67" s="159">
        <f>IF($Y67="mobile",SUMIFS(Mobile_options!I:I,Mobile_options!$B:$B,$D67,Mobile_options!$E:$E,$G67),IF($Y67="nonpoint",SUMIFS(Nonpoint_options!I:I,Nonpoint_options!$B:$B,$D67,Nonpoint_options!$E:$E,$G67),SUMIFS(Point_options!I:I,Point_options!$B:$B,$D67,Point_options!$E:$E,$G67)))</f>
        <v>8.5013330242014726E-2</v>
      </c>
      <c r="L67" s="168">
        <f>IF($Y67="mobile",SUMIFS(Mobile_options!J:J,Mobile_options!$B:$B,$D67,Mobile_options!$E:$E,$G67),IF($Y67="nonpoint",SUMIFS(Nonpoint_options!J:J,Nonpoint_options!$B:$B,$D67,Nonpoint_options!$E:$E,$G67),SUMIFS(Point_options!J:J,Point_options!$B:$B,$D67,Point_options!$E:$E,$G67)))</f>
        <v>96.829624672738873</v>
      </c>
      <c r="M67" s="92" t="s">
        <v>250</v>
      </c>
      <c r="N67" s="92" t="s">
        <v>250</v>
      </c>
      <c r="O67" s="92" t="s">
        <v>250</v>
      </c>
      <c r="P67" s="92" t="s">
        <v>250</v>
      </c>
      <c r="Q67" s="92" t="s">
        <v>253</v>
      </c>
      <c r="R67" s="92" t="s">
        <v>253</v>
      </c>
      <c r="S67" s="52" t="str">
        <f>IF(ISNA(VLOOKUP($D67,Mobile_state_reductions!$B$4:$X$114,23,FALSE))=TRUE,"",VLOOKUP($D67,Mobile_state_reductions!$B$4:$X$114,23,FALSE))</f>
        <v/>
      </c>
      <c r="T67" s="52" t="str">
        <f t="shared" si="3"/>
        <v>O-39VOC</v>
      </c>
      <c r="U67" s="52">
        <f t="shared" si="4"/>
        <v>60</v>
      </c>
      <c r="V67" s="52" t="str">
        <f>IF(ISNA(VLOOKUP($D67,Nonpoint_state_reductions!$B$4:$X$108,23,FALSE))=TRUE,"",VLOOKUP($D67,Nonpoint_state_reductions!$B$4:$X$108,23,FALSE))</f>
        <v/>
      </c>
      <c r="W67" s="52" t="str">
        <f>IF(ISNA(VLOOKUP($D67,Point_state_reductions!$B$3:$X$117,23,FALSE)),"",VLOOKUP($D67,Point_state_reductions!$B$3:$X$117,23,FALSE))</f>
        <v/>
      </c>
      <c r="Y67" s="185" t="str">
        <f>VLOOKUP(D67,EmissRed_Shortlist!$D$8:$V$111,19,FALSE)</f>
        <v>mobile</v>
      </c>
      <c r="Z67" s="201">
        <f t="shared" si="2"/>
        <v>60</v>
      </c>
    </row>
    <row r="68" spans="1:26" ht="14.4" x14ac:dyDescent="0.3">
      <c r="A68" s="92">
        <v>61</v>
      </c>
      <c r="B68" s="92">
        <f>VLOOKUP(D68,EmissRed_Shortlist!$D$8:$W$87,20,FALSE)</f>
        <v>60</v>
      </c>
      <c r="C68" s="153" t="str">
        <f>VLOOKUP(D68,Shortlist_xref!$A$5:$C$77,2,FALSE)</f>
        <v>R-Select</v>
      </c>
      <c r="D68" s="57" t="s">
        <v>183</v>
      </c>
      <c r="E68" s="58" t="s">
        <v>181</v>
      </c>
      <c r="F68" s="12" t="s">
        <v>184</v>
      </c>
      <c r="G68" s="57" t="s">
        <v>53</v>
      </c>
      <c r="H68" s="157">
        <f>IF($Y68="mobile",SUMIFS(Mobile_options!F:F,Mobile_options!$B:$B,$D68,Mobile_options!$E:$E,$G68),IF($Y68="nonpoint",SUMIFS(Nonpoint_options!F:F,Nonpoint_options!$B:$B,$D68,Nonpoint_options!$E:$E,$G68),SUMIFS(Point_options!F:F,Point_options!$B:$B,$D68,Point_options!$E:$E,$G68)))</f>
        <v>0.01</v>
      </c>
      <c r="I68" s="154">
        <f>IF($Y68="mobile",SUMIFS(Mobile_options!G:G,Mobile_options!$B:$B,$D68,Mobile_options!$E:$E,$G68),IF($Y68="nonpoint",SUMIFS(Nonpoint_options!G:G,Nonpoint_options!$B:$B,$D68,Nonpoint_options!$E:$E,$G68),SUMIFS(Point_options!G:G,Point_options!$B:$B,$D68,Point_options!$E:$E,$G68)))</f>
        <v>7.5500000000000012E-2</v>
      </c>
      <c r="J68" s="158" t="str">
        <f>IF(Y68="mobile",VLOOKUP($D68&amp;$G68,Mobile_options!$X$1:$Y$150,2,FALSE),IF(Y68="nonpoint",VLOOKUP($D68&amp;$G68,Nonpoint_options!$W$1:$X$150,2,FALSE),VLOOKUP($D68&amp;$G68,Point_options!$U$1:$V$150,2,FALSE)))</f>
        <v>$130k - 1.5M/ton VOC</v>
      </c>
      <c r="K68" s="159">
        <f>IF($Y68="mobile",SUMIFS(Mobile_options!I:I,Mobile_options!$B:$B,$D68,Mobile_options!$E:$E,$G68),IF($Y68="nonpoint",SUMIFS(Nonpoint_options!I:I,Nonpoint_options!$B:$B,$D68,Nonpoint_options!$E:$E,$G68),SUMIFS(Point_options!I:I,Point_options!$B:$B,$D68,Point_options!$E:$E,$G68)))</f>
        <v>8.5013330242014726E-2</v>
      </c>
      <c r="L68" s="168">
        <f>IF($Y68="mobile",SUMIFS(Mobile_options!J:J,Mobile_options!$B:$B,$D68,Mobile_options!$E:$E,$G68),IF($Y68="nonpoint",SUMIFS(Nonpoint_options!J:J,Nonpoint_options!$B:$B,$D68,Nonpoint_options!$E:$E,$G68),SUMIFS(Point_options!J:J,Point_options!$B:$B,$D68,Point_options!$E:$E,$G68)))</f>
        <v>96.829624672738902</v>
      </c>
      <c r="M68" s="92" t="s">
        <v>250</v>
      </c>
      <c r="N68" s="92" t="s">
        <v>250</v>
      </c>
      <c r="O68" s="92" t="s">
        <v>250</v>
      </c>
      <c r="P68" s="92" t="s">
        <v>250</v>
      </c>
      <c r="Q68" s="92" t="s">
        <v>253</v>
      </c>
      <c r="R68" s="92" t="s">
        <v>251</v>
      </c>
      <c r="S68" s="52" t="str">
        <f>IF(ISNA(VLOOKUP($D68,Mobile_state_reductions!$B$4:$X$114,23,FALSE))=TRUE,"",VLOOKUP($D68,Mobile_state_reductions!$B$4:$X$114,23,FALSE))</f>
        <v/>
      </c>
      <c r="T68" s="52" t="str">
        <f t="shared" si="3"/>
        <v>O-34VOC</v>
      </c>
      <c r="U68" s="52">
        <f t="shared" si="4"/>
        <v>61</v>
      </c>
      <c r="V68" s="52" t="str">
        <f>IF(ISNA(VLOOKUP($D68,Nonpoint_state_reductions!$B$4:$X$108,23,FALSE))=TRUE,"",VLOOKUP($D68,Nonpoint_state_reductions!$B$4:$X$108,23,FALSE))</f>
        <v/>
      </c>
      <c r="W68" s="52" t="str">
        <f>IF(ISNA(VLOOKUP($D68,Point_state_reductions!$B$3:$X$117,23,FALSE)),"",VLOOKUP($D68,Point_state_reductions!$B$3:$X$117,23,FALSE))</f>
        <v/>
      </c>
      <c r="Y68" s="185" t="str">
        <f>VLOOKUP(D68,EmissRed_Shortlist!$D$8:$V$111,19,FALSE)</f>
        <v>mobile</v>
      </c>
      <c r="Z68" s="201">
        <f t="shared" si="2"/>
        <v>61</v>
      </c>
    </row>
    <row r="69" spans="1:26" ht="14.4" x14ac:dyDescent="0.3">
      <c r="A69" s="92">
        <v>62</v>
      </c>
      <c r="B69" s="92">
        <f>VLOOKUP(D69,EmissRed_Shortlist!$D$8:$W$87,20,FALSE)</f>
        <v>60</v>
      </c>
      <c r="C69" s="153" t="str">
        <f>VLOOKUP(D69,Shortlist_xref!$A$5:$C$77,2,FALSE)</f>
        <v>R-Select</v>
      </c>
      <c r="D69" s="57" t="s">
        <v>183</v>
      </c>
      <c r="E69" s="58" t="s">
        <v>181</v>
      </c>
      <c r="F69" s="12" t="s">
        <v>184</v>
      </c>
      <c r="G69" s="57" t="s">
        <v>12</v>
      </c>
      <c r="H69" s="157">
        <f>IF($Y69="mobile",SUMIFS(Mobile_options!F:F,Mobile_options!$B:$B,$D69,Mobile_options!$E:$E,$G69),IF($Y69="nonpoint",SUMIFS(Nonpoint_options!F:F,Nonpoint_options!$B:$B,$D69,Nonpoint_options!$E:$E,$G69),SUMIFS(Point_options!F:F,Point_options!$B:$B,$D69,Point_options!$E:$E,$G69)))</f>
        <v>0.01</v>
      </c>
      <c r="I69" s="154">
        <f>IF($Y69="mobile",SUMIFS(Mobile_options!G:G,Mobile_options!$B:$B,$D69,Mobile_options!$E:$E,$G69),IF($Y69="nonpoint",SUMIFS(Nonpoint_options!G:G,Nonpoint_options!$B:$B,$D69,Nonpoint_options!$E:$E,$G69),SUMIFS(Point_options!G:G,Point_options!$B:$B,$D69,Point_options!$E:$E,$G69)))</f>
        <v>0.1255</v>
      </c>
      <c r="J69" s="158" t="str">
        <f>IF(Y69="mobile",VLOOKUP($D69&amp;$G69,Mobile_options!$X$1:$Y$150,2,FALSE),IF(Y69="nonpoint",VLOOKUP($D69&amp;$G69,Nonpoint_options!$W$1:$X$150,2,FALSE),VLOOKUP($D69&amp;$G69,Point_options!$U$1:$V$150,2,FALSE)))</f>
        <v>$222k - 1.5M/ton NOx</v>
      </c>
      <c r="K69" s="159">
        <f>IF($Y69="mobile",SUMIFS(Mobile_options!I:I,Mobile_options!$B:$B,$D69,Mobile_options!$E:$E,$G69),IF($Y69="nonpoint",SUMIFS(Nonpoint_options!I:I,Nonpoint_options!$B:$B,$D69,Nonpoint_options!$E:$E,$G69),SUMIFS(Point_options!I:I,Point_options!$B:$B,$D69,Point_options!$E:$E,$G69)))</f>
        <v>9.7099050388806174E-2</v>
      </c>
      <c r="L69" s="168">
        <f>IF($Y69="mobile",SUMIFS(Mobile_options!J:J,Mobile_options!$B:$B,$D69,Mobile_options!$E:$E,$G69),IF($Y69="nonpoint",SUMIFS(Nonpoint_options!J:J,Nonpoint_options!$B:$B,$D69,Nonpoint_options!$E:$E,$G69),SUMIFS(Point_options!J:J,Point_options!$B:$B,$D69,Point_options!$E:$E,$G69)))</f>
        <v>130.66544561346078</v>
      </c>
      <c r="M69" s="92" t="s">
        <v>250</v>
      </c>
      <c r="N69" s="92" t="s">
        <v>250</v>
      </c>
      <c r="O69" s="92" t="s">
        <v>250</v>
      </c>
      <c r="P69" s="92" t="s">
        <v>250</v>
      </c>
      <c r="Q69" s="92" t="s">
        <v>253</v>
      </c>
      <c r="R69" s="92" t="s">
        <v>251</v>
      </c>
      <c r="S69" s="52" t="str">
        <f>IF(ISNA(VLOOKUP($D69,Mobile_state_reductions!$B$4:$X$114,23,FALSE))=TRUE,"",VLOOKUP($D69,Mobile_state_reductions!$B$4:$X$114,23,FALSE))</f>
        <v/>
      </c>
      <c r="T69" s="52" t="str">
        <f t="shared" si="3"/>
        <v>O-34NOx</v>
      </c>
      <c r="U69" s="52">
        <f t="shared" si="4"/>
        <v>62</v>
      </c>
      <c r="V69" s="52" t="str">
        <f>IF(ISNA(VLOOKUP($D69,Nonpoint_state_reductions!$B$4:$X$108,23,FALSE))=TRUE,"",VLOOKUP($D69,Nonpoint_state_reductions!$B$4:$X$108,23,FALSE))</f>
        <v/>
      </c>
      <c r="W69" s="52" t="str">
        <f>IF(ISNA(VLOOKUP($D69,Point_state_reductions!$B$3:$X$117,23,FALSE)),"",VLOOKUP($D69,Point_state_reductions!$B$3:$X$117,23,FALSE))</f>
        <v/>
      </c>
      <c r="Y69" s="185" t="str">
        <f>VLOOKUP(D69,EmissRed_Shortlist!$D$8:$V$111,19,FALSE)</f>
        <v>mobile</v>
      </c>
      <c r="Z69" s="201">
        <f t="shared" si="2"/>
        <v>62</v>
      </c>
    </row>
    <row r="70" spans="1:26" ht="84.7" x14ac:dyDescent="0.3">
      <c r="A70" s="92">
        <v>63</v>
      </c>
      <c r="B70" s="92">
        <f>VLOOKUP(D70,EmissRed_Shortlist!$D$8:$W$87,20,FALSE)</f>
        <v>28</v>
      </c>
      <c r="C70" s="153" t="str">
        <f>VLOOKUP(D70,Shortlist_xref!$A$5:$C$77,2,FALSE)</f>
        <v>EmissRed</v>
      </c>
      <c r="D70" s="57" t="s">
        <v>16</v>
      </c>
      <c r="E70" s="58" t="s">
        <v>17</v>
      </c>
      <c r="F70" s="12" t="s">
        <v>18</v>
      </c>
      <c r="G70" s="57" t="s">
        <v>12</v>
      </c>
      <c r="H70" s="157">
        <f>IF($Y70="mobile",SUMIFS(Mobile_options!F:F,Mobile_options!$B:$B,$D70,Mobile_options!$E:$E,$G70),IF($Y70="nonpoint",SUMIFS(Nonpoint_options!F:F,Nonpoint_options!$B:$B,$D70,Nonpoint_options!$E:$E,$G70),SUMIFS(Point_options!F:F,Point_options!$B:$B,$D70,Point_options!$E:$E,$G70)))</f>
        <v>0.1</v>
      </c>
      <c r="I70" s="154">
        <f>IF($Y70="mobile",SUMIFS(Mobile_options!G:G,Mobile_options!$B:$B,$D70,Mobile_options!$E:$E,$G70),IF($Y70="nonpoint",SUMIFS(Nonpoint_options!G:G,Nonpoint_options!$B:$B,$D70,Nonpoint_options!$E:$E,$G70),SUMIFS(Point_options!G:G,Point_options!$B:$B,$D70,Point_options!$E:$E,$G70)))</f>
        <v>0.56799999999999995</v>
      </c>
      <c r="J70" s="158" t="str">
        <f>IF(Y70="mobile",VLOOKUP($D70&amp;$G70,Mobile_options!$X$1:$Y$150,2,FALSE),IF(Y70="nonpoint",VLOOKUP($D70&amp;$G70,Nonpoint_options!$W$1:$X$150,2,FALSE),VLOOKUP($D70&amp;$G70,Point_options!$U$1:$V$150,2,FALSE)))</f>
        <v xml:space="preserve">Cost effectiveness is variable and based on plant size: for a 300MW plant, total capital cost of $44.58 per kW; the fixed O&amp;M costs of $0.30 per kW per year; and variable O&amp;M costs of $0.070 mills per kWh.  The scaling factor for plants from 25MW (Capital Cost and Fixed O&amp;M only) = (300/capacity)^(0.359). </v>
      </c>
      <c r="K70" s="159">
        <f>IF($Y70="mobile",SUMIFS(Mobile_options!I:I,Mobile_options!$B:$B,$D70,Mobile_options!$E:$E,$G70),IF($Y70="nonpoint",SUMIFS(Nonpoint_options!I:I,Nonpoint_options!$B:$B,$D70,Nonpoint_options!$E:$E,$G70),SUMIFS(Point_options!I:I,Point_options!$B:$B,$D70,Point_options!$E:$E,$G70)))</f>
        <v>5.3343464640204599E-4</v>
      </c>
      <c r="L70" s="168">
        <f>IF($Y70="mobile",SUMIFS(Mobile_options!J:J,Mobile_options!$B:$B,$D70,Mobile_options!$E:$E,$G70),IF($Y70="nonpoint",SUMIFS(Nonpoint_options!J:J,Nonpoint_options!$B:$B,$D70,Nonpoint_options!$E:$E,$G70),SUMIFS(Point_options!J:J,Point_options!$B:$B,$D70,Point_options!$E:$E,$G70)))</f>
        <v>2592.9205498092315</v>
      </c>
      <c r="M70" s="92" t="s">
        <v>250</v>
      </c>
      <c r="N70" s="92" t="s">
        <v>250</v>
      </c>
      <c r="O70" s="92" t="s">
        <v>263</v>
      </c>
      <c r="P70" s="92" t="s">
        <v>250</v>
      </c>
      <c r="Q70" s="92" t="s">
        <v>251</v>
      </c>
      <c r="R70" s="92" t="s">
        <v>253</v>
      </c>
      <c r="S70" s="52" t="str">
        <f>IF(ISNA(VLOOKUP($D70,Mobile_state_reductions!$B$4:$X$114,23,FALSE))=TRUE,"",VLOOKUP($D70,Mobile_state_reductions!$B$4:$X$114,23,FALSE))</f>
        <v/>
      </c>
      <c r="T70" s="52" t="str">
        <f t="shared" si="3"/>
        <v>P - 3NOx</v>
      </c>
      <c r="U70" s="52">
        <f t="shared" si="4"/>
        <v>63</v>
      </c>
      <c r="V70" s="52" t="str">
        <f>IF(ISNA(VLOOKUP($D70,Nonpoint_state_reductions!$B$4:$X$108,23,FALSE))=TRUE,"",VLOOKUP($D70,Nonpoint_state_reductions!$B$4:$X$108,23,FALSE))</f>
        <v/>
      </c>
      <c r="W70" s="52" t="str">
        <f>IF(ISNA(VLOOKUP($D70,Point_state_reductions!$B$3:$X$117,23,FALSE)),"",VLOOKUP($D70,Point_state_reductions!$B$3:$X$117,23,FALSE))</f>
        <v>ILINMIOHWI</v>
      </c>
      <c r="Y70" s="185" t="str">
        <f>VLOOKUP(D70,EmissRed_Shortlist!$D$8:$V$111,19,FALSE)</f>
        <v>point</v>
      </c>
      <c r="Z70" s="201">
        <f t="shared" si="2"/>
        <v>63</v>
      </c>
    </row>
    <row r="71" spans="1:26" ht="96.8" x14ac:dyDescent="0.3">
      <c r="A71" s="92">
        <v>64</v>
      </c>
      <c r="B71" s="92">
        <f>VLOOKUP(D71,EmissRed_Shortlist!$D$8:$W$87,20,FALSE)</f>
        <v>19</v>
      </c>
      <c r="C71" s="153" t="str">
        <f>VLOOKUP(D71,Shortlist_xref!$A$5:$C$77,2,FALSE)</f>
        <v>EmissRed</v>
      </c>
      <c r="D71" s="57" t="s">
        <v>13</v>
      </c>
      <c r="E71" s="58" t="s">
        <v>14</v>
      </c>
      <c r="F71" s="12" t="s">
        <v>15</v>
      </c>
      <c r="G71" s="57" t="s">
        <v>12</v>
      </c>
      <c r="H71" s="157">
        <f>IF($Y71="mobile",SUMIFS(Mobile_options!F:F,Mobile_options!$B:$B,$D71,Mobile_options!$E:$E,$G71),IF($Y71="nonpoint",SUMIFS(Nonpoint_options!F:F,Nonpoint_options!$B:$B,$D71,Nonpoint_options!$E:$E,$G71),SUMIFS(Point_options!F:F,Point_options!$B:$B,$D71,Point_options!$E:$E,$G71)))</f>
        <v>0.1</v>
      </c>
      <c r="I71" s="154">
        <f>IF($Y71="mobile",SUMIFS(Mobile_options!G:G,Mobile_options!$B:$B,$D71,Mobile_options!$E:$E,$G71),IF($Y71="nonpoint",SUMIFS(Nonpoint_options!G:G,Nonpoint_options!$B:$B,$D71,Nonpoint_options!$E:$E,$G71),SUMIFS(Point_options!G:G,Point_options!$B:$B,$D71,Point_options!$E:$E,$G71)))</f>
        <v>0.71799999999999997</v>
      </c>
      <c r="J71" s="158" t="str">
        <f>IF(Y71="mobile",VLOOKUP($D71&amp;$G71,Mobile_options!$X$1:$Y$150,2,FALSE),IF(Y71="nonpoint",VLOOKUP($D71&amp;$G71,Nonpoint_options!$W$1:$X$150,2,FALSE),VLOOKUP($D71&amp;$G71,Point_options!$U$1:$V$150,2,FALSE)))</f>
        <v xml:space="preserve">Cost effectiveness is variable and based on plant size: for a 300MW plant, total capital cost of $60.43 per kW; the fixed O&amp;M costs of $0.40 per kW per year; and variable O&amp;M costs of $0.090 mills per kWh.
The scaling factor for plants from 25MW (Capital Cost and Fixed O&amp;M only) = (300/capacity)^(0.359). </v>
      </c>
      <c r="K71" s="159">
        <f>IF($Y71="mobile",SUMIFS(Mobile_options!I:I,Mobile_options!$B:$B,$D71,Mobile_options!$E:$E,$G71),IF($Y71="nonpoint",SUMIFS(Nonpoint_options!I:I,Nonpoint_options!$B:$B,$D71,Nonpoint_options!$E:$E,$G71),SUMIFS(Point_options!I:I,Point_options!$B:$B,$D71,Point_options!$E:$E,$G71)))</f>
        <v>6.2039100031798411E-4</v>
      </c>
      <c r="L71" s="168">
        <f>IF($Y71="mobile",SUMIFS(Mobile_options!J:J,Mobile_options!$B:$B,$D71,Mobile_options!$E:$E,$G71),IF($Y71="nonpoint",SUMIFS(Nonpoint_options!J:J,Nonpoint_options!$B:$B,$D71,Nonpoint_options!$E:$E,$G71),SUMIFS(Point_options!J:J,Point_options!$B:$B,$D71,Point_options!$E:$E,$G71)))</f>
        <v>4015.8710515308344</v>
      </c>
      <c r="M71" s="92" t="s">
        <v>250</v>
      </c>
      <c r="N71" s="92" t="s">
        <v>250</v>
      </c>
      <c r="O71" s="92" t="s">
        <v>263</v>
      </c>
      <c r="P71" s="92" t="s">
        <v>250</v>
      </c>
      <c r="Q71" s="92" t="s">
        <v>251</v>
      </c>
      <c r="R71" s="92" t="s">
        <v>253</v>
      </c>
      <c r="S71" s="52" t="str">
        <f>IF(ISNA(VLOOKUP($D71,Mobile_state_reductions!$B$4:$X$114,23,FALSE))=TRUE,"",VLOOKUP($D71,Mobile_state_reductions!$B$4:$X$114,23,FALSE))</f>
        <v/>
      </c>
      <c r="T71" s="52" t="str">
        <f t="shared" si="3"/>
        <v>P - 2NOx</v>
      </c>
      <c r="U71" s="52">
        <f t="shared" si="4"/>
        <v>64</v>
      </c>
      <c r="V71" s="52" t="str">
        <f>IF(ISNA(VLOOKUP($D71,Nonpoint_state_reductions!$B$4:$X$108,23,FALSE))=TRUE,"",VLOOKUP($D71,Nonpoint_state_reductions!$B$4:$X$108,23,FALSE))</f>
        <v/>
      </c>
      <c r="W71" s="52" t="str">
        <f>IF(ISNA(VLOOKUP($D71,Point_state_reductions!$B$3:$X$117,23,FALSE)),"",VLOOKUP($D71,Point_state_reductions!$B$3:$X$117,23,FALSE))</f>
        <v>ILINMIOHWI</v>
      </c>
      <c r="Y71" s="185" t="str">
        <f>VLOOKUP(D71,EmissRed_Shortlist!$D$8:$V$111,19,FALSE)</f>
        <v>point</v>
      </c>
      <c r="Z71" s="201">
        <f t="shared" si="2"/>
        <v>64</v>
      </c>
    </row>
    <row r="72" spans="1:26" ht="96.8" x14ac:dyDescent="0.3">
      <c r="A72" s="92">
        <v>65</v>
      </c>
      <c r="B72" s="92">
        <f>VLOOKUP(D72,EmissRed_Shortlist!$D$8:$W$87,20,FALSE)</f>
        <v>32</v>
      </c>
      <c r="C72" s="153" t="str">
        <f>VLOOKUP(D72,Shortlist_xref!$A$5:$C$77,2,FALSE)</f>
        <v>EmissRed</v>
      </c>
      <c r="D72" s="57" t="s">
        <v>22</v>
      </c>
      <c r="E72" s="58" t="s">
        <v>23</v>
      </c>
      <c r="F72" s="12" t="s">
        <v>15</v>
      </c>
      <c r="G72" s="57" t="s">
        <v>12</v>
      </c>
      <c r="H72" s="157">
        <f>IF($Y72="mobile",SUMIFS(Mobile_options!F:F,Mobile_options!$B:$B,$D72,Mobile_options!$E:$E,$G72),IF($Y72="nonpoint",SUMIFS(Nonpoint_options!F:F,Nonpoint_options!$B:$B,$D72,Nonpoint_options!$E:$E,$G72),SUMIFS(Point_options!F:F,Point_options!$B:$B,$D72,Point_options!$E:$E,$G72)))</f>
        <v>0.1</v>
      </c>
      <c r="I72" s="154">
        <f>IF($Y72="mobile",SUMIFS(Mobile_options!G:G,Mobile_options!$B:$B,$D72,Mobile_options!$E:$E,$G72),IF($Y72="nonpoint",SUMIFS(Nonpoint_options!G:G,Nonpoint_options!$B:$B,$D72,Nonpoint_options!$E:$E,$G72),SUMIFS(Point_options!G:G,Point_options!$B:$B,$D72,Point_options!$E:$E,$G72)))</f>
        <v>0.72</v>
      </c>
      <c r="J72" s="158" t="str">
        <f>IF(Y72="mobile",VLOOKUP($D72&amp;$G72,Mobile_options!$X$1:$Y$150,2,FALSE),IF(Y72="nonpoint",VLOOKUP($D72&amp;$G72,Nonpoint_options!$W$1:$X$150,2,FALSE),VLOOKUP($D72&amp;$G72,Point_options!$U$1:$V$150,2,FALSE)))</f>
        <v xml:space="preserve">Cost effectiveness is variable and based on plant size: for a 300MW plant, total capital cost of $60.43 per kW; the fixed O&amp;M costs of $0.40 per kW per year; and variable O&amp;M costs of $0.090 mills per kWh.
The scaling factor for plants from 25MW (Capital Cost and Fixed O&amp;M only) = (300/capacity)^(0.359). </v>
      </c>
      <c r="K72" s="159">
        <f>IF($Y72="mobile",SUMIFS(Mobile_options!I:I,Mobile_options!$B:$B,$D72,Mobile_options!$E:$E,$G72),IF($Y72="nonpoint",SUMIFS(Nonpoint_options!I:I,Nonpoint_options!$B:$B,$D72,Nonpoint_options!$E:$E,$G72),SUMIFS(Point_options!I:I,Point_options!$B:$B,$D72,Point_options!$E:$E,$G72)))</f>
        <v>5.2982762858947926E-4</v>
      </c>
      <c r="L72" s="168">
        <f>IF($Y72="mobile",SUMIFS(Mobile_options!J:J,Mobile_options!$B:$B,$D72,Mobile_options!$E:$E,$G72),IF($Y72="nonpoint",SUMIFS(Nonpoint_options!J:J,Nonpoint_options!$B:$B,$D72,Nonpoint_options!$E:$E,$G72),SUMIFS(Point_options!J:J,Point_options!$B:$B,$D72,Point_options!$E:$E,$G72)))</f>
        <v>2037.0016677916803</v>
      </c>
      <c r="M72" s="92" t="s">
        <v>250</v>
      </c>
      <c r="N72" s="92" t="s">
        <v>250</v>
      </c>
      <c r="O72" s="92" t="s">
        <v>263</v>
      </c>
      <c r="P72" s="92" t="s">
        <v>250</v>
      </c>
      <c r="Q72" s="92" t="s">
        <v>251</v>
      </c>
      <c r="R72" s="92" t="s">
        <v>253</v>
      </c>
      <c r="S72" s="52" t="str">
        <f>IF(ISNA(VLOOKUP($D72,Mobile_state_reductions!$B$4:$X$114,23,FALSE))=TRUE,"",VLOOKUP($D72,Mobile_state_reductions!$B$4:$X$114,23,FALSE))</f>
        <v/>
      </c>
      <c r="T72" s="52" t="str">
        <f t="shared" ref="T72:T87" si="5">D72&amp;G72</f>
        <v>P - 13NOx</v>
      </c>
      <c r="U72" s="52">
        <f t="shared" ref="U72:U85" si="6">A72</f>
        <v>65</v>
      </c>
      <c r="V72" s="52" t="str">
        <f>IF(ISNA(VLOOKUP($D72,Nonpoint_state_reductions!$B$4:$X$108,23,FALSE))=TRUE,"",VLOOKUP($D72,Nonpoint_state_reductions!$B$4:$X$108,23,FALSE))</f>
        <v/>
      </c>
      <c r="W72" s="52" t="str">
        <f>IF(ISNA(VLOOKUP($D72,Point_state_reductions!$B$3:$X$117,23,FALSE)),"",VLOOKUP($D72,Point_state_reductions!$B$3:$X$117,23,FALSE))</f>
        <v>ILINMIOHWI</v>
      </c>
      <c r="Y72" s="185" t="str">
        <f>VLOOKUP(D72,EmissRed_Shortlist!$D$8:$V$111,19,FALSE)</f>
        <v>point</v>
      </c>
      <c r="Z72" s="201">
        <f t="shared" si="2"/>
        <v>65</v>
      </c>
    </row>
    <row r="73" spans="1:26" ht="14.4" x14ac:dyDescent="0.3">
      <c r="A73" s="92">
        <v>66</v>
      </c>
      <c r="B73" s="92">
        <f>VLOOKUP(D73,EmissRed_Shortlist!$D$8:$W$87,20,FALSE)</f>
        <v>27</v>
      </c>
      <c r="C73" s="153" t="str">
        <f>VLOOKUP(D73,Shortlist_xref!$A$5:$C$77,2,FALSE)</f>
        <v>EmissRed</v>
      </c>
      <c r="D73" s="153" t="s">
        <v>202</v>
      </c>
      <c r="E73" s="138" t="s">
        <v>360</v>
      </c>
      <c r="F73" s="138" t="s">
        <v>361</v>
      </c>
      <c r="G73" s="153" t="s">
        <v>12</v>
      </c>
      <c r="H73" s="157">
        <f>IF($Y73="mobile",SUMIFS(Mobile_options!F:F,Mobile_options!$B:$B,$D73,Mobile_options!$E:$E,$G73),IF($Y73="nonpoint",SUMIFS(Nonpoint_options!F:F,Nonpoint_options!$B:$B,$D73,Nonpoint_options!$E:$E,$G73),SUMIFS(Point_options!F:F,Point_options!$B:$B,$D73,Point_options!$E:$E,$G73)))</f>
        <v>0.5</v>
      </c>
      <c r="I73" s="154">
        <f>IF($Y73="mobile",SUMIFS(Mobile_options!G:G,Mobile_options!$B:$B,$D73,Mobile_options!$E:$E,$G73),IF($Y73="nonpoint",SUMIFS(Nonpoint_options!G:G,Nonpoint_options!$B:$B,$D73,Nonpoint_options!$E:$E,$G73),SUMIFS(Point_options!G:G,Point_options!$B:$B,$D73,Point_options!$E:$E,$G73)))</f>
        <v>6.8750000000000006E-2</v>
      </c>
      <c r="J73" s="158" t="str">
        <f>IF(Y73="mobile",VLOOKUP($D73&amp;$G73,Mobile_options!$X$1:$Y$150,2,FALSE),IF(Y73="nonpoint",VLOOKUP($D73&amp;$G73,Nonpoint_options!$W$1:$X$150,2,FALSE),VLOOKUP($D73&amp;$G73,Point_options!$U$1:$V$150,2,FALSE)))</f>
        <v>NA</v>
      </c>
      <c r="K73" s="159">
        <f>IF($Y73="mobile",SUMIFS(Mobile_options!I:I,Mobile_options!$B:$B,$D73,Mobile_options!$E:$E,$G73),IF($Y73="nonpoint",SUMIFS(Nonpoint_options!I:I,Nonpoint_options!$B:$B,$D73,Nonpoint_options!$E:$E,$G73),SUMIFS(Point_options!I:I,Point_options!$B:$B,$D73,Point_options!$E:$E,$G73)))</f>
        <v>7.2076661475179771E-2</v>
      </c>
      <c r="L73" s="168">
        <f>IF($Y73="mobile",SUMIFS(Mobile_options!J:J,Mobile_options!$B:$B,$D73,Mobile_options!$E:$E,$G73),IF($Y73="nonpoint",SUMIFS(Nonpoint_options!J:J,Nonpoint_options!$B:$B,$D73,Nonpoint_options!$E:$E,$G73),SUMIFS(Point_options!J:J,Point_options!$B:$B,$D73,Point_options!$E:$E,$G73)))</f>
        <v>2656.6810295367018</v>
      </c>
      <c r="M73" s="92" t="s">
        <v>250</v>
      </c>
      <c r="N73" s="92" t="s">
        <v>250</v>
      </c>
      <c r="O73" s="92" t="s">
        <v>250</v>
      </c>
      <c r="P73" s="92" t="s">
        <v>250</v>
      </c>
      <c r="Q73" s="92" t="s">
        <v>253</v>
      </c>
      <c r="R73" s="92" t="s">
        <v>251</v>
      </c>
      <c r="Y73" s="185" t="str">
        <f>VLOOKUP(D73,EmissRed_Shortlist!$D$8:$V$111,19,FALSE)</f>
        <v>mobile</v>
      </c>
      <c r="Z73" s="201">
        <f t="shared" ref="Z73" si="7">A73</f>
        <v>66</v>
      </c>
    </row>
    <row r="74" spans="1:26" ht="24.2" x14ac:dyDescent="0.3">
      <c r="A74" s="92">
        <v>67</v>
      </c>
      <c r="B74" s="92">
        <f>VLOOKUP(D74,EmissRed_Shortlist!$D$8:$W$87,20,FALSE)</f>
        <v>16</v>
      </c>
      <c r="C74" s="153" t="str">
        <f>VLOOKUP(D74,Shortlist_xref!$A$5:$C$77,2,FALSE)</f>
        <v>EmissRed</v>
      </c>
      <c r="D74" s="57" t="s">
        <v>201</v>
      </c>
      <c r="E74" s="58" t="s">
        <v>145</v>
      </c>
      <c r="F74" s="12" t="s">
        <v>213</v>
      </c>
      <c r="G74" s="57" t="s">
        <v>53</v>
      </c>
      <c r="H74" s="157">
        <f>IF($Y74="mobile",SUMIFS(Mobile_options!F:F,Mobile_options!$B:$B,$D74,Mobile_options!$E:$E,$G74),IF($Y74="nonpoint",SUMIFS(Nonpoint_options!F:F,Nonpoint_options!$B:$B,$D74,Nonpoint_options!$E:$E,$G74),SUMIFS(Point_options!F:F,Point_options!$B:$B,$D74,Point_options!$E:$E,$G74)))</f>
        <v>1</v>
      </c>
      <c r="I74" s="154">
        <f>IF($Y74="mobile",SUMIFS(Mobile_options!G:G,Mobile_options!$B:$B,$D74,Mobile_options!$E:$E,$G74),IF($Y74="nonpoint",SUMIFS(Nonpoint_options!G:G,Nonpoint_options!$B:$B,$D74,Nonpoint_options!$E:$E,$G74),SUMIFS(Point_options!G:G,Point_options!$B:$B,$D74,Point_options!$E:$E,$G74)))</f>
        <v>0.03</v>
      </c>
      <c r="J74" s="158" t="str">
        <f>IF(Y74="mobile",VLOOKUP($D74&amp;$G74,Mobile_options!$X$1:$Y$150,2,FALSE),IF(Y74="nonpoint",VLOOKUP($D74&amp;$G74,Nonpoint_options!$W$1:$X$150,2,FALSE),VLOOKUP($D74&amp;$G74,Point_options!$U$1:$V$150,2,FALSE)))</f>
        <v>NA</v>
      </c>
      <c r="K74" s="159">
        <f>IF($Y74="mobile",SUMIFS(Mobile_options!I:I,Mobile_options!$B:$B,$D74,Mobile_options!$E:$E,$G74),IF($Y74="nonpoint",SUMIFS(Nonpoint_options!I:I,Nonpoint_options!$B:$B,$D74,Nonpoint_options!$E:$E,$G74),SUMIFS(Point_options!I:I,Point_options!$B:$B,$D74,Point_options!$E:$E,$G74)))</f>
        <v>9.2506949251990059E-2</v>
      </c>
      <c r="L74" s="168">
        <f>IF($Y74="mobile",SUMIFS(Mobile_options!J:J,Mobile_options!$B:$B,$D74,Mobile_options!$E:$E,$G74),IF($Y74="nonpoint",SUMIFS(Nonpoint_options!J:J,Nonpoint_options!$B:$B,$D74,Nonpoint_options!$E:$E,$G74),SUMIFS(Point_options!J:J,Point_options!$B:$B,$D74,Point_options!$E:$E,$G74)))</f>
        <v>4186.6810926247817</v>
      </c>
      <c r="M74" s="92" t="s">
        <v>250</v>
      </c>
      <c r="N74" s="92" t="s">
        <v>250</v>
      </c>
      <c r="O74" s="92" t="s">
        <v>250</v>
      </c>
      <c r="P74" s="92" t="s">
        <v>250</v>
      </c>
      <c r="Q74" s="92" t="s">
        <v>253</v>
      </c>
      <c r="R74" s="92" t="s">
        <v>253</v>
      </c>
      <c r="S74" s="52" t="str">
        <f>IF(ISNA(VLOOKUP($D74,Mobile_state_reductions!$B$4:$X$114,23,FALSE))=TRUE,"",VLOOKUP($D74,Mobile_state_reductions!$B$4:$X$114,23,FALSE))</f>
        <v>ILINMIMNOHWI</v>
      </c>
      <c r="T74" s="52" t="str">
        <f t="shared" si="5"/>
        <v>O-3VOC</v>
      </c>
      <c r="U74" s="52">
        <f t="shared" si="6"/>
        <v>67</v>
      </c>
      <c r="V74" s="52" t="str">
        <f>IF(ISNA(VLOOKUP($D74,Nonpoint_state_reductions!$B$4:$X$108,23,FALSE))=TRUE,"",VLOOKUP($D74,Nonpoint_state_reductions!$B$4:$X$108,23,FALSE))</f>
        <v/>
      </c>
      <c r="W74" s="52" t="str">
        <f>IF(ISNA(VLOOKUP($D74,Point_state_reductions!$B$3:$X$117,23,FALSE)),"",VLOOKUP($D74,Point_state_reductions!$B$3:$X$117,23,FALSE))</f>
        <v/>
      </c>
      <c r="Y74" s="185" t="str">
        <f>VLOOKUP(D74,EmissRed_Shortlist!$D$8:$V$111,19,FALSE)</f>
        <v>mobile</v>
      </c>
      <c r="Z74" s="201">
        <f t="shared" ref="Z74:Z87" si="8">A74</f>
        <v>67</v>
      </c>
    </row>
    <row r="75" spans="1:26" ht="14.4" x14ac:dyDescent="0.3">
      <c r="A75" s="92">
        <v>68</v>
      </c>
      <c r="B75" s="92">
        <f>VLOOKUP(D75,EmissRed_Shortlist!$D$8:$W$87,20,FALSE)</f>
        <v>11</v>
      </c>
      <c r="C75" s="153" t="str">
        <f>VLOOKUP(D75,Shortlist_xref!$A$5:$C$77,2,FALSE)</f>
        <v>EmissRed</v>
      </c>
      <c r="D75" s="57" t="s">
        <v>149</v>
      </c>
      <c r="E75" s="58" t="s">
        <v>150</v>
      </c>
      <c r="F75" s="12" t="s">
        <v>151</v>
      </c>
      <c r="G75" s="57" t="s">
        <v>12</v>
      </c>
      <c r="H75" s="157">
        <f>IF($Y75="mobile",SUMIFS(Mobile_options!F:F,Mobile_options!$B:$B,$D75,Mobile_options!$E:$E,$G75),IF($Y75="nonpoint",SUMIFS(Nonpoint_options!F:F,Nonpoint_options!$B:$B,$D75,Nonpoint_options!$E:$E,$G75),SUMIFS(Point_options!F:F,Point_options!$B:$B,$D75,Point_options!$E:$E,$G75)))</f>
        <v>0.1</v>
      </c>
      <c r="I75" s="154">
        <f>IF($Y75="mobile",SUMIFS(Mobile_options!G:G,Mobile_options!$B:$B,$D75,Mobile_options!$E:$E,$G75),IF($Y75="nonpoint",SUMIFS(Nonpoint_options!G:G,Nonpoint_options!$B:$B,$D75,Nonpoint_options!$E:$E,$G75),SUMIFS(Point_options!G:G,Point_options!$B:$B,$D75,Point_options!$E:$E,$G75)))</f>
        <v>0.9</v>
      </c>
      <c r="J75" s="158" t="str">
        <f>IF(Y75="mobile",VLOOKUP($D75&amp;$G75,Mobile_options!$X$1:$Y$150,2,FALSE),IF(Y75="nonpoint",VLOOKUP($D75&amp;$G75,Nonpoint_options!$W$1:$X$150,2,FALSE),VLOOKUP($D75&amp;$G75,Point_options!$U$1:$V$150,2,FALSE)))</f>
        <v>NA</v>
      </c>
      <c r="K75" s="159">
        <f>IF($Y75="mobile",SUMIFS(Mobile_options!I:I,Mobile_options!$B:$B,$D75,Mobile_options!$E:$E,$G75),IF($Y75="nonpoint",SUMIFS(Nonpoint_options!I:I,Nonpoint_options!$B:$B,$D75,Nonpoint_options!$E:$E,$G75),SUMIFS(Point_options!I:I,Point_options!$B:$B,$D75,Point_options!$E:$E,$G75)))</f>
        <v>5.7096414449347391E-2</v>
      </c>
      <c r="L75" s="168">
        <f>IF($Y75="mobile",SUMIFS(Mobile_options!J:J,Mobile_options!$B:$B,$D75,Mobile_options!$E:$E,$G75),IF($Y75="nonpoint",SUMIFS(Nonpoint_options!J:J,Nonpoint_options!$B:$B,$D75,Nonpoint_options!$E:$E,$G75),SUMIFS(Point_options!J:J,Point_options!$B:$B,$D75,Point_options!$E:$E,$G75)))</f>
        <v>5510.0227388031308</v>
      </c>
      <c r="M75" s="92" t="s">
        <v>250</v>
      </c>
      <c r="N75" s="92" t="s">
        <v>250</v>
      </c>
      <c r="O75" s="92" t="s">
        <v>250</v>
      </c>
      <c r="P75" s="92" t="s">
        <v>250</v>
      </c>
      <c r="Q75" s="92" t="s">
        <v>251</v>
      </c>
      <c r="R75" s="92" t="s">
        <v>251</v>
      </c>
      <c r="S75" s="52" t="str">
        <f>IF(ISNA(VLOOKUP($D75,Mobile_state_reductions!$B$4:$X$114,23,FALSE))=TRUE,"",VLOOKUP($D75,Mobile_state_reductions!$B$4:$X$114,23,FALSE))</f>
        <v/>
      </c>
      <c r="T75" s="52" t="str">
        <f t="shared" si="5"/>
        <v>O-10NOx</v>
      </c>
      <c r="U75" s="52">
        <f t="shared" si="6"/>
        <v>68</v>
      </c>
      <c r="V75" s="52" t="str">
        <f>IF(ISNA(VLOOKUP($D75,Nonpoint_state_reductions!$B$4:$X$108,23,FALSE))=TRUE,"",VLOOKUP($D75,Nonpoint_state_reductions!$B$4:$X$108,23,FALSE))</f>
        <v/>
      </c>
      <c r="W75" s="52" t="str">
        <f>IF(ISNA(VLOOKUP($D75,Point_state_reductions!$B$3:$X$117,23,FALSE)),"",VLOOKUP($D75,Point_state_reductions!$B$3:$X$117,23,FALSE))</f>
        <v/>
      </c>
      <c r="Y75" s="185" t="str">
        <f>VLOOKUP(D75,EmissRed_Shortlist!$D$8:$V$111,19,FALSE)</f>
        <v>mobile</v>
      </c>
      <c r="Z75" s="201">
        <f t="shared" si="8"/>
        <v>68</v>
      </c>
    </row>
    <row r="76" spans="1:26" ht="14.4" x14ac:dyDescent="0.3">
      <c r="A76" s="92">
        <v>69</v>
      </c>
      <c r="B76" s="92">
        <f>VLOOKUP(D76,EmissRed_Shortlist!$D$8:$W$87,20,FALSE)</f>
        <v>52</v>
      </c>
      <c r="C76" s="153" t="str">
        <f>VLOOKUP(D76,Shortlist_xref!$A$5:$C$77,2,FALSE)</f>
        <v>R-Select</v>
      </c>
      <c r="D76" s="57" t="s">
        <v>185</v>
      </c>
      <c r="E76" s="58" t="s">
        <v>181</v>
      </c>
      <c r="F76" s="12" t="s">
        <v>186</v>
      </c>
      <c r="G76" s="57" t="s">
        <v>12</v>
      </c>
      <c r="H76" s="157">
        <f>IF($Y76="mobile",SUMIFS(Mobile_options!F:F,Mobile_options!$B:$B,$D76,Mobile_options!$E:$E,$G76),IF($Y76="nonpoint",SUMIFS(Nonpoint_options!F:F,Nonpoint_options!$B:$B,$D76,Nonpoint_options!$E:$E,$G76),SUMIFS(Point_options!F:F,Point_options!$B:$B,$D76,Point_options!$E:$E,$G76)))</f>
        <v>0.01</v>
      </c>
      <c r="I76" s="154">
        <f>IF($Y76="mobile",SUMIFS(Mobile_options!G:G,Mobile_options!$B:$B,$D76,Mobile_options!$E:$E,$G76),IF($Y76="nonpoint",SUMIFS(Nonpoint_options!G:G,Nonpoint_options!$B:$B,$D76,Nonpoint_options!$E:$E,$G76),SUMIFS(Point_options!G:G,Point_options!$B:$B,$D76,Point_options!$E:$E,$G76)))</f>
        <v>0.1575</v>
      </c>
      <c r="J76" s="158" t="str">
        <f>IF(Y76="mobile",VLOOKUP($D76&amp;$G76,Mobile_options!$X$1:$Y$150,2,FALSE),IF(Y76="nonpoint",VLOOKUP($D76&amp;$G76,Nonpoint_options!$W$1:$X$150,2,FALSE),VLOOKUP($D76&amp;$G76,Point_options!$U$1:$V$150,2,FALSE)))</f>
        <v>NA</v>
      </c>
      <c r="K76" s="159">
        <f>IF($Y76="mobile",SUMIFS(Mobile_options!I:I,Mobile_options!$B:$B,$D76,Mobile_options!$E:$E,$G76),IF($Y76="nonpoint",SUMIFS(Nonpoint_options!I:I,Nonpoint_options!$B:$B,$D76,Nonpoint_options!$E:$E,$G76),SUMIFS(Point_options!I:I,Point_options!$B:$B,$D76,Point_options!$E:$E,$G76)))</f>
        <v>9.7099050388806174E-2</v>
      </c>
      <c r="L76" s="168">
        <f>IF($Y76="mobile",SUMIFS(Mobile_options!J:J,Mobile_options!$B:$B,$D76,Mobile_options!$E:$E,$G76),IF($Y76="nonpoint",SUMIFS(Nonpoint_options!J:J,Nonpoint_options!$B:$B,$D76,Nonpoint_options!$E:$E,$G76),SUMIFS(Point_options!J:J,Point_options!$B:$B,$D76,Point_options!$E:$E,$G76)))</f>
        <v>163.98253134757027</v>
      </c>
      <c r="M76" s="92" t="s">
        <v>250</v>
      </c>
      <c r="N76" s="92" t="s">
        <v>250</v>
      </c>
      <c r="O76" s="92" t="s">
        <v>250</v>
      </c>
      <c r="P76" s="92" t="s">
        <v>250</v>
      </c>
      <c r="Q76" s="92" t="s">
        <v>253</v>
      </c>
      <c r="R76" s="92" t="s">
        <v>253</v>
      </c>
      <c r="S76" s="52" t="str">
        <f>IF(ISNA(VLOOKUP($D76,Mobile_state_reductions!$B$4:$X$114,23,FALSE))=TRUE,"",VLOOKUP($D76,Mobile_state_reductions!$B$4:$X$114,23,FALSE))</f>
        <v/>
      </c>
      <c r="T76" s="52" t="str">
        <f t="shared" si="5"/>
        <v>O-35NOx</v>
      </c>
      <c r="U76" s="52">
        <f t="shared" si="6"/>
        <v>69</v>
      </c>
      <c r="V76" s="52" t="str">
        <f>IF(ISNA(VLOOKUP($D76,Nonpoint_state_reductions!$B$4:$X$108,23,FALSE))=TRUE,"",VLOOKUP($D76,Nonpoint_state_reductions!$B$4:$X$108,23,FALSE))</f>
        <v/>
      </c>
      <c r="W76" s="52" t="str">
        <f>IF(ISNA(VLOOKUP($D76,Point_state_reductions!$B$3:$X$117,23,FALSE)),"",VLOOKUP($D76,Point_state_reductions!$B$3:$X$117,23,FALSE))</f>
        <v/>
      </c>
      <c r="Y76" s="185" t="str">
        <f>VLOOKUP(D76,EmissRed_Shortlist!$D$8:$V$111,19,FALSE)</f>
        <v>mobile</v>
      </c>
      <c r="Z76" s="201">
        <f t="shared" si="8"/>
        <v>69</v>
      </c>
    </row>
    <row r="77" spans="1:26" ht="14.4" x14ac:dyDescent="0.3">
      <c r="A77" s="92">
        <v>70</v>
      </c>
      <c r="B77" s="92">
        <f>VLOOKUP(D77,EmissRed_Shortlist!$D$8:$W$87,20,FALSE)</f>
        <v>52</v>
      </c>
      <c r="C77" s="153" t="str">
        <f>VLOOKUP(D77,Shortlist_xref!$A$5:$C$77,2,FALSE)</f>
        <v>R-Select</v>
      </c>
      <c r="D77" s="57" t="s">
        <v>185</v>
      </c>
      <c r="E77" s="58" t="s">
        <v>181</v>
      </c>
      <c r="F77" s="12" t="s">
        <v>186</v>
      </c>
      <c r="G77" s="57" t="s">
        <v>53</v>
      </c>
      <c r="H77" s="157">
        <f>IF($Y77="mobile",SUMIFS(Mobile_options!F:F,Mobile_options!$B:$B,$D77,Mobile_options!$E:$E,$G77),IF($Y77="nonpoint",SUMIFS(Nonpoint_options!F:F,Nonpoint_options!$B:$B,$D77,Nonpoint_options!$E:$E,$G77),SUMIFS(Point_options!F:F,Point_options!$B:$B,$D77,Point_options!$E:$E,$G77)))</f>
        <v>0.01</v>
      </c>
      <c r="I77" s="154">
        <f>IF($Y77="mobile",SUMIFS(Mobile_options!G:G,Mobile_options!$B:$B,$D77,Mobile_options!$E:$E,$G77),IF($Y77="nonpoint",SUMIFS(Nonpoint_options!G:G,Nonpoint_options!$B:$B,$D77,Nonpoint_options!$E:$E,$G77),SUMIFS(Point_options!G:G,Point_options!$B:$B,$D77,Point_options!$E:$E,$G77)))</f>
        <v>9.4499999999999987E-2</v>
      </c>
      <c r="J77" s="158" t="str">
        <f>IF(Y77="mobile",VLOOKUP($D77&amp;$G77,Mobile_options!$X$1:$Y$150,2,FALSE),IF(Y77="nonpoint",VLOOKUP($D77&amp;$G77,Nonpoint_options!$W$1:$X$150,2,FALSE),VLOOKUP($D77&amp;$G77,Point_options!$U$1:$V$150,2,FALSE)))</f>
        <v>NA</v>
      </c>
      <c r="K77" s="159">
        <f>IF($Y77="mobile",SUMIFS(Mobile_options!I:I,Mobile_options!$B:$B,$D77,Mobile_options!$E:$E,$G77),IF($Y77="nonpoint",SUMIFS(Nonpoint_options!I:I,Nonpoint_options!$B:$B,$D77,Nonpoint_options!$E:$E,$G77),SUMIFS(Point_options!I:I,Point_options!$B:$B,$D77,Point_options!$E:$E,$G77)))</f>
        <v>8.5013330242014726E-2</v>
      </c>
      <c r="L77" s="168">
        <f>IF($Y77="mobile",SUMIFS(Mobile_options!J:J,Mobile_options!$B:$B,$D77,Mobile_options!$E:$E,$G77),IF($Y77="nonpoint",SUMIFS(Nonpoint_options!J:J,Nonpoint_options!$B:$B,$D77,Nonpoint_options!$E:$E,$G77),SUMIFS(Point_options!J:J,Point_options!$B:$B,$D77,Point_options!$E:$E,$G77)))</f>
        <v>121.19734478905725</v>
      </c>
      <c r="M77" s="92" t="s">
        <v>250</v>
      </c>
      <c r="N77" s="92" t="s">
        <v>250</v>
      </c>
      <c r="O77" s="92" t="s">
        <v>250</v>
      </c>
      <c r="P77" s="92" t="s">
        <v>250</v>
      </c>
      <c r="Q77" s="92" t="s">
        <v>253</v>
      </c>
      <c r="R77" s="92" t="s">
        <v>253</v>
      </c>
      <c r="S77" s="52" t="str">
        <f>IF(ISNA(VLOOKUP($D77,Mobile_state_reductions!$B$4:$X$114,23,FALSE))=TRUE,"",VLOOKUP($D77,Mobile_state_reductions!$B$4:$X$114,23,FALSE))</f>
        <v/>
      </c>
      <c r="T77" s="52" t="str">
        <f t="shared" si="5"/>
        <v>O-35VOC</v>
      </c>
      <c r="U77" s="52">
        <f t="shared" si="6"/>
        <v>70</v>
      </c>
      <c r="V77" s="52" t="str">
        <f>IF(ISNA(VLOOKUP($D77,Nonpoint_state_reductions!$B$4:$X$108,23,FALSE))=TRUE,"",VLOOKUP($D77,Nonpoint_state_reductions!$B$4:$X$108,23,FALSE))</f>
        <v/>
      </c>
      <c r="W77" s="52" t="str">
        <f>IF(ISNA(VLOOKUP($D77,Point_state_reductions!$B$3:$X$117,23,FALSE)),"",VLOOKUP($D77,Point_state_reductions!$B$3:$X$117,23,FALSE))</f>
        <v/>
      </c>
      <c r="Y77" s="185" t="str">
        <f>VLOOKUP(D77,EmissRed_Shortlist!$D$8:$V$111,19,FALSE)</f>
        <v>mobile</v>
      </c>
      <c r="Z77" s="201">
        <f t="shared" si="8"/>
        <v>70</v>
      </c>
    </row>
    <row r="78" spans="1:26" ht="24.2" x14ac:dyDescent="0.3">
      <c r="A78" s="92">
        <v>71</v>
      </c>
      <c r="B78" s="92">
        <f>VLOOKUP(D78,EmissRed_Shortlist!$D$8:$W$87,20,FALSE)</f>
        <v>50</v>
      </c>
      <c r="C78" s="153" t="str">
        <f>VLOOKUP(D78,Shortlist_xref!$A$5:$C$77,2,FALSE)</f>
        <v>R-Select</v>
      </c>
      <c r="D78" s="57" t="s">
        <v>187</v>
      </c>
      <c r="E78" s="58" t="s">
        <v>181</v>
      </c>
      <c r="F78" s="12" t="s">
        <v>188</v>
      </c>
      <c r="G78" s="57" t="s">
        <v>12</v>
      </c>
      <c r="H78" s="157">
        <f>IF($Y78="mobile",SUMIFS(Mobile_options!F:F,Mobile_options!$B:$B,$D78,Mobile_options!$E:$E,$G78),IF($Y78="nonpoint",SUMIFS(Nonpoint_options!F:F,Nonpoint_options!$B:$B,$D78,Nonpoint_options!$E:$E,$G78),SUMIFS(Point_options!F:F,Point_options!$B:$B,$D78,Point_options!$E:$E,$G78)))</f>
        <v>0.01</v>
      </c>
      <c r="I78" s="154">
        <f>IF($Y78="mobile",SUMIFS(Mobile_options!G:G,Mobile_options!$B:$B,$D78,Mobile_options!$E:$E,$G78),IF($Y78="nonpoint",SUMIFS(Nonpoint_options!G:G,Nonpoint_options!$B:$B,$D78,Nonpoint_options!$E:$E,$G78),SUMIFS(Point_options!G:G,Point_options!$B:$B,$D78,Point_options!$E:$E,$G78)))</f>
        <v>0.19500000000000001</v>
      </c>
      <c r="J78" s="158" t="str">
        <f>IF(Y78="mobile",VLOOKUP($D78&amp;$G78,Mobile_options!$X$1:$Y$150,2,FALSE),IF(Y78="nonpoint",VLOOKUP($D78&amp;$G78,Nonpoint_options!$W$1:$X$150,2,FALSE),VLOOKUP($D78&amp;$G78,Point_options!$U$1:$V$150,2,FALSE)))</f>
        <v>NA</v>
      </c>
      <c r="K78" s="159">
        <f>IF($Y78="mobile",SUMIFS(Mobile_options!I:I,Mobile_options!$B:$B,$D78,Mobile_options!$E:$E,$G78),IF($Y78="nonpoint",SUMIFS(Nonpoint_options!I:I,Nonpoint_options!$B:$B,$D78,Nonpoint_options!$E:$E,$G78),SUMIFS(Point_options!I:I,Point_options!$B:$B,$D78,Point_options!$E:$E,$G78)))</f>
        <v>9.7099050388806174E-2</v>
      </c>
      <c r="L78" s="168">
        <f>IF($Y78="mobile",SUMIFS(Mobile_options!J:J,Mobile_options!$B:$B,$D78,Mobile_options!$E:$E,$G78),IF($Y78="nonpoint",SUMIFS(Nonpoint_options!J:J,Nonpoint_options!$B:$B,$D78,Nonpoint_options!$E:$E,$G78),SUMIFS(Point_options!J:J,Point_options!$B:$B,$D78,Point_options!$E:$E,$G78)))</f>
        <v>203.0259911922299</v>
      </c>
      <c r="M78" s="92" t="s">
        <v>250</v>
      </c>
      <c r="N78" s="92" t="s">
        <v>250</v>
      </c>
      <c r="O78" s="92" t="s">
        <v>250</v>
      </c>
      <c r="P78" s="92" t="s">
        <v>250</v>
      </c>
      <c r="Q78" s="92" t="s">
        <v>253</v>
      </c>
      <c r="R78" s="92" t="s">
        <v>253</v>
      </c>
      <c r="S78" s="52" t="str">
        <f>IF(ISNA(VLOOKUP($D78,Mobile_state_reductions!$B$4:$X$114,23,FALSE))=TRUE,"",VLOOKUP($D78,Mobile_state_reductions!$B$4:$X$114,23,FALSE))</f>
        <v/>
      </c>
      <c r="T78" s="52" t="str">
        <f t="shared" si="5"/>
        <v>O-36NOx</v>
      </c>
      <c r="U78" s="52">
        <f t="shared" si="6"/>
        <v>71</v>
      </c>
      <c r="V78" s="52" t="str">
        <f>IF(ISNA(VLOOKUP($D78,Nonpoint_state_reductions!$B$4:$X$108,23,FALSE))=TRUE,"",VLOOKUP($D78,Nonpoint_state_reductions!$B$4:$X$108,23,FALSE))</f>
        <v/>
      </c>
      <c r="W78" s="52" t="str">
        <f>IF(ISNA(VLOOKUP($D78,Point_state_reductions!$B$3:$X$117,23,FALSE)),"",VLOOKUP($D78,Point_state_reductions!$B$3:$X$117,23,FALSE))</f>
        <v/>
      </c>
      <c r="Y78" s="185" t="str">
        <f>VLOOKUP(D78,EmissRed_Shortlist!$D$8:$V$111,19,FALSE)</f>
        <v>mobile</v>
      </c>
      <c r="Z78" s="201">
        <f t="shared" si="8"/>
        <v>71</v>
      </c>
    </row>
    <row r="79" spans="1:26" ht="24.2" x14ac:dyDescent="0.3">
      <c r="A79" s="92">
        <v>72</v>
      </c>
      <c r="B79" s="92">
        <f>VLOOKUP(D79,EmissRed_Shortlist!$D$8:$W$87,20,FALSE)</f>
        <v>50</v>
      </c>
      <c r="C79" s="153" t="str">
        <f>VLOOKUP(D79,Shortlist_xref!$A$5:$C$77,2,FALSE)</f>
        <v>R-Select</v>
      </c>
      <c r="D79" s="3" t="s">
        <v>187</v>
      </c>
      <c r="E79" s="5" t="s">
        <v>181</v>
      </c>
      <c r="F79" s="5" t="s">
        <v>188</v>
      </c>
      <c r="G79" s="3" t="s">
        <v>53</v>
      </c>
      <c r="H79" s="157">
        <f>IF($Y79="mobile",SUMIFS(Mobile_options!F:F,Mobile_options!$B:$B,$D79,Mobile_options!$E:$E,$G79),IF($Y79="nonpoint",SUMIFS(Nonpoint_options!F:F,Nonpoint_options!$B:$B,$D79,Nonpoint_options!$E:$E,$G79),SUMIFS(Point_options!F:F,Point_options!$B:$B,$D79,Point_options!$E:$E,$G79)))</f>
        <v>0.01</v>
      </c>
      <c r="I79" s="154">
        <f>IF($Y79="mobile",SUMIFS(Mobile_options!G:G,Mobile_options!$B:$B,$D79,Mobile_options!$E:$E,$G79),IF($Y79="nonpoint",SUMIFS(Nonpoint_options!G:G,Nonpoint_options!$B:$B,$D79,Nonpoint_options!$E:$E,$G79),SUMIFS(Point_options!G:G,Point_options!$B:$B,$D79,Point_options!$E:$E,$G79)))</f>
        <v>0.11699999999999999</v>
      </c>
      <c r="J79" s="158" t="str">
        <f>IF(Y79="mobile",VLOOKUP($D79&amp;$G79,Mobile_options!$X$1:$Y$150,2,FALSE),IF(Y79="nonpoint",VLOOKUP($D79&amp;$G79,Nonpoint_options!$W$1:$X$150,2,FALSE),VLOOKUP($D79&amp;$G79,Point_options!$U$1:$V$150,2,FALSE)))</f>
        <v>NA</v>
      </c>
      <c r="K79" s="159">
        <f>IF($Y79="mobile",SUMIFS(Mobile_options!I:I,Mobile_options!$B:$B,$D79,Mobile_options!$E:$E,$G79),IF($Y79="nonpoint",SUMIFS(Nonpoint_options!I:I,Nonpoint_options!$B:$B,$D79,Nonpoint_options!$E:$E,$G79),SUMIFS(Point_options!I:I,Point_options!$B:$B,$D79,Point_options!$E:$E,$G79)))</f>
        <v>8.5013330242014726E-2</v>
      </c>
      <c r="L79" s="168">
        <f>IF($Y79="mobile",SUMIFS(Mobile_options!J:J,Mobile_options!$B:$B,$D79,Mobile_options!$E:$E,$G79),IF($Y79="nonpoint",SUMIFS(Nonpoint_options!J:J,Nonpoint_options!$B:$B,$D79,Nonpoint_options!$E:$E,$G79),SUMIFS(Point_options!J:J,Point_options!$B:$B,$D79,Point_options!$E:$E,$G79)))</f>
        <v>150.05385545311853</v>
      </c>
      <c r="M79" s="92" t="s">
        <v>250</v>
      </c>
      <c r="N79" s="92" t="s">
        <v>250</v>
      </c>
      <c r="O79" s="92" t="s">
        <v>250</v>
      </c>
      <c r="P79" s="92" t="s">
        <v>250</v>
      </c>
      <c r="Q79" s="92" t="s">
        <v>253</v>
      </c>
      <c r="R79" s="92" t="s">
        <v>253</v>
      </c>
      <c r="S79" s="52" t="str">
        <f>IF(ISNA(VLOOKUP($D79,Mobile_state_reductions!$B$4:$X$114,23,FALSE))=TRUE,"",VLOOKUP($D79,Mobile_state_reductions!$B$4:$X$114,23,FALSE))</f>
        <v/>
      </c>
      <c r="T79" s="52" t="str">
        <f t="shared" si="5"/>
        <v>O-36VOC</v>
      </c>
      <c r="U79" s="52">
        <f t="shared" si="6"/>
        <v>72</v>
      </c>
      <c r="V79" s="52" t="str">
        <f>IF(ISNA(VLOOKUP($D79,Nonpoint_state_reductions!$B$4:$X$108,23,FALSE))=TRUE,"",VLOOKUP($D79,Nonpoint_state_reductions!$B$4:$X$108,23,FALSE))</f>
        <v/>
      </c>
      <c r="W79" s="52" t="str">
        <f>IF(ISNA(VLOOKUP($D79,Point_state_reductions!$B$3:$X$117,23,FALSE)),"",VLOOKUP($D79,Point_state_reductions!$B$3:$X$117,23,FALSE))</f>
        <v/>
      </c>
      <c r="Y79" s="185" t="str">
        <f>VLOOKUP(D79,EmissRed_Shortlist!$D$8:$V$111,19,FALSE)</f>
        <v>mobile</v>
      </c>
      <c r="Z79" s="201">
        <f t="shared" si="8"/>
        <v>72</v>
      </c>
    </row>
    <row r="80" spans="1:26" ht="14.4" x14ac:dyDescent="0.3">
      <c r="A80" s="92">
        <v>73</v>
      </c>
      <c r="B80" s="92">
        <f>VLOOKUP(D80,EmissRed_Shortlist!$D$8:$W$87,20,FALSE)</f>
        <v>20</v>
      </c>
      <c r="C80" s="153" t="str">
        <f>VLOOKUP(D80,Shortlist_xref!$A$5:$C$77,2,FALSE)</f>
        <v>EmissRed</v>
      </c>
      <c r="D80" s="3" t="s">
        <v>190</v>
      </c>
      <c r="E80" s="5" t="s">
        <v>191</v>
      </c>
      <c r="F80" s="5" t="s">
        <v>192</v>
      </c>
      <c r="G80" s="3" t="s">
        <v>12</v>
      </c>
      <c r="H80" s="157">
        <f>IF($Y80="mobile",SUMIFS(Mobile_options!F:F,Mobile_options!$B:$B,$D80,Mobile_options!$E:$E,$G80),IF($Y80="nonpoint",SUMIFS(Nonpoint_options!F:F,Nonpoint_options!$B:$B,$D80,Nonpoint_options!$E:$E,$G80),SUMIFS(Point_options!F:F,Point_options!$B:$B,$D80,Point_options!$E:$E,$G80)))</f>
        <v>0.1</v>
      </c>
      <c r="I80" s="154">
        <f>IF($Y80="mobile",SUMIFS(Mobile_options!G:G,Mobile_options!$B:$B,$D80,Mobile_options!$E:$E,$G80),IF($Y80="nonpoint",SUMIFS(Nonpoint_options!G:G,Nonpoint_options!$B:$B,$D80,Nonpoint_options!$E:$E,$G80),SUMIFS(Point_options!G:G,Point_options!$B:$B,$D80,Point_options!$E:$E,$G80)))</f>
        <v>0.5</v>
      </c>
      <c r="J80" s="158" t="str">
        <f>IF(Y80="mobile",VLOOKUP($D80&amp;$G80,Mobile_options!$X$1:$Y$150,2,FALSE),IF(Y80="nonpoint",VLOOKUP($D80&amp;$G80,Nonpoint_options!$W$1:$X$150,2,FALSE),VLOOKUP($D80&amp;$G80,Point_options!$U$1:$V$150,2,FALSE)))</f>
        <v>NA</v>
      </c>
      <c r="K80" s="159">
        <f>IF($Y80="mobile",SUMIFS(Mobile_options!I:I,Mobile_options!$B:$B,$D80,Mobile_options!$E:$E,$G80),IF($Y80="nonpoint",SUMIFS(Nonpoint_options!I:I,Nonpoint_options!$B:$B,$D80,Nonpoint_options!$E:$E,$G80),SUMIFS(Point_options!I:I,Point_options!$B:$B,$D80,Point_options!$E:$E,$G80)))</f>
        <v>7.4572282514097213E-2</v>
      </c>
      <c r="L80" s="168">
        <f>IF($Y80="mobile",SUMIFS(Mobile_options!J:J,Mobile_options!$B:$B,$D80,Mobile_options!$E:$E,$G80),IF($Y80="nonpoint",SUMIFS(Nonpoint_options!J:J,Nonpoint_options!$B:$B,$D80,Nonpoint_options!$E:$E,$G80),SUMIFS(Point_options!J:J,Point_options!$B:$B,$D80,Point_options!$E:$E,$G80)))</f>
        <v>3998.0616442079613</v>
      </c>
      <c r="M80" s="92" t="s">
        <v>250</v>
      </c>
      <c r="N80" s="92" t="s">
        <v>250</v>
      </c>
      <c r="O80" s="92" t="s">
        <v>250</v>
      </c>
      <c r="P80" s="92" t="s">
        <v>250</v>
      </c>
      <c r="Q80" s="92" t="s">
        <v>253</v>
      </c>
      <c r="R80" s="92" t="s">
        <v>251</v>
      </c>
      <c r="S80" s="52" t="str">
        <f>IF(ISNA(VLOOKUP($D80,Mobile_state_reductions!$B$4:$X$114,23,FALSE))=TRUE,"",VLOOKUP($D80,Mobile_state_reductions!$B$4:$X$114,23,FALSE))</f>
        <v/>
      </c>
      <c r="T80" s="52" t="str">
        <f t="shared" si="5"/>
        <v>O-40NOx</v>
      </c>
      <c r="U80" s="52">
        <f t="shared" si="6"/>
        <v>73</v>
      </c>
      <c r="V80" s="52" t="str">
        <f>IF(ISNA(VLOOKUP($D80,Nonpoint_state_reductions!$B$4:$X$108,23,FALSE))=TRUE,"",VLOOKUP($D80,Nonpoint_state_reductions!$B$4:$X$108,23,FALSE))</f>
        <v/>
      </c>
      <c r="W80" s="52" t="str">
        <f>IF(ISNA(VLOOKUP($D80,Point_state_reductions!$B$3:$X$117,23,FALSE)),"",VLOOKUP($D80,Point_state_reductions!$B$3:$X$117,23,FALSE))</f>
        <v/>
      </c>
      <c r="Y80" s="185" t="str">
        <f>VLOOKUP(D80,EmissRed_Shortlist!$D$8:$V$111,19,FALSE)</f>
        <v>mobile</v>
      </c>
      <c r="Z80" s="201">
        <f t="shared" si="8"/>
        <v>73</v>
      </c>
    </row>
    <row r="81" spans="1:26" ht="14.4" x14ac:dyDescent="0.3">
      <c r="A81" s="166">
        <v>74</v>
      </c>
      <c r="B81" s="166">
        <f>VLOOKUP(D81,EmissRed_Shortlist!$D$8:$W$87,20,FALSE)</f>
        <v>18</v>
      </c>
      <c r="C81" s="160" t="str">
        <f>VLOOKUP(D81,Shortlist_xref!$A$5:$C$77,2,FALSE)</f>
        <v>EmissRed</v>
      </c>
      <c r="D81" s="160" t="s">
        <v>311</v>
      </c>
      <c r="E81" s="167" t="s">
        <v>332</v>
      </c>
      <c r="F81" s="167" t="s">
        <v>97</v>
      </c>
      <c r="G81" s="160" t="s">
        <v>53</v>
      </c>
      <c r="H81" s="161">
        <f>IF($Y81="mobile",SUMIFS(Mobile_options!F:F,Mobile_options!$B:$B,$D81,Mobile_options!$E:$E,$G81),IF($Y81="nonpoint",SUMIFS(Nonpoint_options!F:F,Nonpoint_options!$B:$B,$D81,Nonpoint_options!$E:$E,$G81),SUMIFS(Point_options!F:F,Point_options!$B:$B,$D81,Point_options!$E:$E,$G81)))</f>
        <v>0.3</v>
      </c>
      <c r="I81" s="162">
        <f>IF($Y81="mobile",SUMIFS(Mobile_options!G:G,Mobile_options!$B:$B,$D81,Mobile_options!$E:$E,$G81),IF($Y81="nonpoint",SUMIFS(Nonpoint_options!G:G,Nonpoint_options!$B:$B,$D81,Nonpoint_options!$E:$E,$G81),SUMIFS(Point_options!G:G,Point_options!$B:$B,$D81,Point_options!$E:$E,$G81)))</f>
        <v>0.85</v>
      </c>
      <c r="J81" s="163" t="str">
        <f>IF(Y81="mobile",VLOOKUP($D81&amp;$G81,Mobile_options!$X$1:$Y$150,2,FALSE),IF(Y81="nonpoint",VLOOKUP($D81&amp;$G81,Nonpoint_options!$W$1:$X$150,2,FALSE),VLOOKUP($D81&amp;$G81,Point_options!$U$1:$V$150,2,FALSE)))</f>
        <v>NA</v>
      </c>
      <c r="K81" s="164">
        <f>IF($Y81="mobile",SUMIFS(Mobile_options!I:I,Mobile_options!$B:$B,$D81,Mobile_options!$E:$E,$G81),IF($Y81="nonpoint",SUMIFS(Nonpoint_options!I:I,Nonpoint_options!$B:$B,$D81,Nonpoint_options!$E:$E,$G81),SUMIFS(Point_options!I:I,Point_options!$B:$B,$D81,Point_options!$E:$E,$G81)))</f>
        <v>1.044399534018455E-2</v>
      </c>
      <c r="L81" s="169">
        <f>IF($Y81="mobile",SUMIFS(Mobile_options!J:J,Mobile_options!$B:$B,$D81,Mobile_options!$E:$E,$G81),IF($Y81="nonpoint",SUMIFS(Nonpoint_options!J:J,Nonpoint_options!$B:$B,$D81,Nonpoint_options!$E:$E,$G81),SUMIFS(Point_options!J:J,Point_options!$B:$B,$D81,Point_options!$E:$E,$G81)))</f>
        <v>4017.7334188848117</v>
      </c>
      <c r="M81" s="166" t="s">
        <v>250</v>
      </c>
      <c r="N81" s="166" t="s">
        <v>250</v>
      </c>
      <c r="O81" s="166" t="s">
        <v>263</v>
      </c>
      <c r="P81" s="166" t="s">
        <v>250</v>
      </c>
      <c r="Q81" s="166" t="s">
        <v>251</v>
      </c>
      <c r="R81" s="166" t="s">
        <v>253</v>
      </c>
      <c r="S81" s="52" t="str">
        <f>IF(ISNA(VLOOKUP($D81,Mobile_state_reductions!$B$4:$X$114,23,FALSE))=TRUE,"",VLOOKUP($D81,Mobile_state_reductions!$B$4:$X$114,23,FALSE))</f>
        <v/>
      </c>
      <c r="T81" s="52" t="str">
        <f t="shared" si="5"/>
        <v>NP - 32VOC</v>
      </c>
      <c r="U81" s="52">
        <f t="shared" si="6"/>
        <v>74</v>
      </c>
      <c r="V81" s="52" t="str">
        <f>IF(ISNA(VLOOKUP($D81,Nonpoint_state_reductions!$B$4:$X$108,23,FALSE))=TRUE,"",VLOOKUP($D81,Nonpoint_state_reductions!$B$4:$X$108,23,FALSE))</f>
        <v>ILINMIMNOHWI</v>
      </c>
      <c r="W81" s="52" t="str">
        <f>IF(ISNA(VLOOKUP($D81,Point_state_reductions!$B$3:$X$117,23,FALSE)),"",VLOOKUP($D81,Point_state_reductions!$B$3:$X$117,23,FALSE))</f>
        <v/>
      </c>
      <c r="Y81" s="185" t="str">
        <f>VLOOKUP(D81,EmissRed_Shortlist!$D$8:$V$111,19,FALSE)</f>
        <v>nonpoint</v>
      </c>
      <c r="Z81" s="201">
        <f t="shared" si="8"/>
        <v>74</v>
      </c>
    </row>
    <row r="82" spans="1:26" ht="14.4" x14ac:dyDescent="0.3">
      <c r="A82" s="166">
        <v>75</v>
      </c>
      <c r="B82" s="166">
        <f>VLOOKUP(D82,EmissRed_Shortlist!$D$8:$W$87,20,FALSE)</f>
        <v>3</v>
      </c>
      <c r="C82" s="160" t="str">
        <f>VLOOKUP(D82,Shortlist_xref!$A$5:$C$77,2,FALSE)</f>
        <v>EmissRed</v>
      </c>
      <c r="D82" s="160" t="s">
        <v>308</v>
      </c>
      <c r="E82" s="167" t="s">
        <v>326</v>
      </c>
      <c r="F82" s="167" t="s">
        <v>327</v>
      </c>
      <c r="G82" s="160" t="s">
        <v>53</v>
      </c>
      <c r="H82" s="161">
        <f>IF($Y82="mobile",SUMIFS(Mobile_options!F:F,Mobile_options!$B:$B,$D82,Mobile_options!$E:$E,$G82),IF($Y82="nonpoint",SUMIFS(Nonpoint_options!F:F,Nonpoint_options!$B:$B,$D82,Nonpoint_options!$E:$E,$G82),SUMIFS(Point_options!F:F,Point_options!$B:$B,$D82,Point_options!$E:$E,$G82)))</f>
        <v>0.1</v>
      </c>
      <c r="I82" s="162">
        <f>IF($Y82="mobile",SUMIFS(Mobile_options!G:G,Mobile_options!$B:$B,$D82,Mobile_options!$E:$E,$G82),IF($Y82="nonpoint",SUMIFS(Nonpoint_options!G:G,Nonpoint_options!$B:$B,$D82,Nonpoint_options!$E:$E,$G82),SUMIFS(Point_options!G:G,Point_options!$B:$B,$D82,Point_options!$E:$E,$G82)))</f>
        <v>0.59499999999999997</v>
      </c>
      <c r="J82" s="163" t="str">
        <f>IF(Y82="mobile",VLOOKUP($D82&amp;$G82,Mobile_options!$X$1:$Y$150,2,FALSE),IF(Y82="nonpoint",VLOOKUP($D82&amp;$G82,Nonpoint_options!$W$1:$X$150,2,FALSE),VLOOKUP($D82&amp;$G82,Point_options!$U$1:$V$150,2,FALSE)))</f>
        <v>NA</v>
      </c>
      <c r="K82" s="164">
        <f>IF($Y82="mobile",SUMIFS(Mobile_options!I:I,Mobile_options!$B:$B,$D82,Mobile_options!$E:$E,$G82),IF($Y82="nonpoint",SUMIFS(Nonpoint_options!I:I,Nonpoint_options!$B:$B,$D82,Nonpoint_options!$E:$E,$G82),SUMIFS(Point_options!I:I,Point_options!$B:$B,$D82,Point_options!$E:$E,$G82)))</f>
        <v>9.6640925667188279E-2</v>
      </c>
      <c r="L82" s="169">
        <f>IF($Y82="mobile",SUMIFS(Mobile_options!J:J,Mobile_options!$B:$B,$D82,Mobile_options!$E:$E,$G82),IF($Y82="nonpoint",SUMIFS(Nonpoint_options!J:J,Nonpoint_options!$B:$B,$D82,Nonpoint_options!$E:$E,$G82),SUMIFS(Point_options!J:J,Point_options!$B:$B,$D82,Point_options!$E:$E,$G82)))</f>
        <v>8674.6570581648393</v>
      </c>
      <c r="M82" s="166" t="s">
        <v>250</v>
      </c>
      <c r="N82" s="166" t="s">
        <v>250</v>
      </c>
      <c r="O82" s="166" t="s">
        <v>263</v>
      </c>
      <c r="P82" s="166" t="s">
        <v>250</v>
      </c>
      <c r="Q82" s="166" t="s">
        <v>251</v>
      </c>
      <c r="R82" s="166" t="s">
        <v>251</v>
      </c>
      <c r="S82" s="52" t="str">
        <f>IF(ISNA(VLOOKUP($D82,Mobile_state_reductions!$B$4:$X$114,23,FALSE))=TRUE,"",VLOOKUP($D82,Mobile_state_reductions!$B$4:$X$114,23,FALSE))</f>
        <v/>
      </c>
      <c r="T82" s="52" t="str">
        <f t="shared" si="5"/>
        <v>NP - 35VOC</v>
      </c>
      <c r="U82" s="52">
        <f t="shared" si="6"/>
        <v>75</v>
      </c>
      <c r="V82" s="52" t="str">
        <f>IF(ISNA(VLOOKUP($D82,Nonpoint_state_reductions!$B$4:$X$108,23,FALSE))=TRUE,"",VLOOKUP($D82,Nonpoint_state_reductions!$B$4:$X$108,23,FALSE))</f>
        <v>ILINMIMNOHWI</v>
      </c>
      <c r="W82" s="52" t="str">
        <f>IF(ISNA(VLOOKUP($D82,Point_state_reductions!$B$3:$X$117,23,FALSE)),"",VLOOKUP($D82,Point_state_reductions!$B$3:$X$117,23,FALSE))</f>
        <v/>
      </c>
      <c r="Y82" s="185" t="str">
        <f>VLOOKUP(D82,EmissRed_Shortlist!$D$8:$V$111,19,FALSE)</f>
        <v>nonpoint</v>
      </c>
      <c r="Z82" s="201">
        <f t="shared" si="8"/>
        <v>75</v>
      </c>
    </row>
    <row r="83" spans="1:26" ht="14.4" x14ac:dyDescent="0.3">
      <c r="A83" s="166">
        <v>76</v>
      </c>
      <c r="B83" s="166">
        <f>VLOOKUP(D83,EmissRed_Shortlist!$D$8:$W$87,20,FALSE)</f>
        <v>12</v>
      </c>
      <c r="C83" s="160" t="str">
        <f>VLOOKUP(D83,Shortlist_xref!$A$5:$C$77,2,FALSE)</f>
        <v>EmissRed</v>
      </c>
      <c r="D83" s="160" t="s">
        <v>310</v>
      </c>
      <c r="E83" s="167" t="s">
        <v>330</v>
      </c>
      <c r="F83" s="167" t="s">
        <v>331</v>
      </c>
      <c r="G83" s="160" t="s">
        <v>53</v>
      </c>
      <c r="H83" s="161">
        <f>IF($Y83="mobile",SUMIFS(Mobile_options!F:F,Mobile_options!$B:$B,$D83,Mobile_options!$E:$E,$G83),IF($Y83="nonpoint",SUMIFS(Nonpoint_options!F:F,Nonpoint_options!$B:$B,$D83,Nonpoint_options!$E:$E,$G83),SUMIFS(Point_options!F:F,Point_options!$B:$B,$D83,Point_options!$E:$E,$G83)))</f>
        <v>0.1</v>
      </c>
      <c r="I83" s="162">
        <f>IF($Y83="mobile",SUMIFS(Mobile_options!G:G,Mobile_options!$B:$B,$D83,Mobile_options!$E:$E,$G83),IF($Y83="nonpoint",SUMIFS(Nonpoint_options!G:G,Nonpoint_options!$B:$B,$D83,Nonpoint_options!$E:$E,$G83),SUMIFS(Point_options!G:G,Point_options!$B:$B,$D83,Point_options!$E:$E,$G83)))</f>
        <v>0.59499999999999997</v>
      </c>
      <c r="J83" s="163" t="str">
        <f>IF(Y83="mobile",VLOOKUP($D83&amp;$G83,Mobile_options!$X$1:$Y$150,2,FALSE),IF(Y83="nonpoint",VLOOKUP($D83&amp;$G83,Nonpoint_options!$W$1:$X$150,2,FALSE),VLOOKUP($D83&amp;$G83,Point_options!$U$1:$V$150,2,FALSE)))</f>
        <v>NA</v>
      </c>
      <c r="K83" s="164">
        <f>IF($Y83="mobile",SUMIFS(Mobile_options!I:I,Mobile_options!$B:$B,$D83,Mobile_options!$E:$E,$G83),IF($Y83="nonpoint",SUMIFS(Nonpoint_options!I:I,Nonpoint_options!$B:$B,$D83,Nonpoint_options!$E:$E,$G83),SUMIFS(Point_options!I:I,Point_options!$B:$B,$D83,Point_options!$E:$E,$G83)))</f>
        <v>0.12528949785478477</v>
      </c>
      <c r="L83" s="169">
        <f>IF($Y83="mobile",SUMIFS(Mobile_options!J:J,Mobile_options!$B:$B,$D83,Mobile_options!$E:$E,$G83),IF($Y83="nonpoint",SUMIFS(Nonpoint_options!J:J,Nonpoint_options!$B:$B,$D83,Nonpoint_options!$E:$E,$G83),SUMIFS(Point_options!J:J,Point_options!$B:$B,$D83,Point_options!$E:$E,$G83)))</f>
        <v>11246.20257283964</v>
      </c>
      <c r="M83" s="166" t="s">
        <v>250</v>
      </c>
      <c r="N83" s="166" t="s">
        <v>250</v>
      </c>
      <c r="O83" s="166" t="s">
        <v>263</v>
      </c>
      <c r="P83" s="166" t="s">
        <v>250</v>
      </c>
      <c r="Q83" s="166" t="s">
        <v>251</v>
      </c>
      <c r="R83" s="166" t="s">
        <v>251</v>
      </c>
      <c r="S83" s="52" t="str">
        <f>IF(ISNA(VLOOKUP($D83,Mobile_state_reductions!$B$4:$X$114,23,FALSE))=TRUE,"",VLOOKUP($D83,Mobile_state_reductions!$B$4:$X$114,23,FALSE))</f>
        <v/>
      </c>
      <c r="T83" s="52" t="str">
        <f t="shared" si="5"/>
        <v>NP - 41VOC</v>
      </c>
      <c r="U83" s="52">
        <f t="shared" si="6"/>
        <v>76</v>
      </c>
      <c r="V83" s="52" t="str">
        <f>IF(ISNA(VLOOKUP($D83,Nonpoint_state_reductions!$B$4:$X$108,23,FALSE))=TRUE,"",VLOOKUP($D83,Nonpoint_state_reductions!$B$4:$X$108,23,FALSE))</f>
        <v>ILINMIMNOHWI</v>
      </c>
      <c r="W83" s="52" t="str">
        <f>IF(ISNA(VLOOKUP($D83,Point_state_reductions!$B$3:$X$117,23,FALSE)),"",VLOOKUP($D83,Point_state_reductions!$B$3:$X$117,23,FALSE))</f>
        <v/>
      </c>
      <c r="Y83" s="185" t="str">
        <f>VLOOKUP(D83,EmissRed_Shortlist!$D$8:$V$111,19,FALSE)</f>
        <v>nonpoint</v>
      </c>
      <c r="Z83" s="201">
        <f t="shared" si="8"/>
        <v>76</v>
      </c>
    </row>
    <row r="84" spans="1:26" ht="14.4" x14ac:dyDescent="0.3">
      <c r="A84" s="92">
        <v>77</v>
      </c>
      <c r="B84" s="92">
        <f>VLOOKUP(D84,EmissRed_Shortlist!$D$8:$W$87,20,FALSE)</f>
        <v>5</v>
      </c>
      <c r="C84" s="153" t="str">
        <f>VLOOKUP(D84,Shortlist_xref!$A$5:$C$77,2,FALSE)</f>
        <v>EmissRed</v>
      </c>
      <c r="D84" s="3" t="s">
        <v>134</v>
      </c>
      <c r="E84" s="5" t="s">
        <v>133</v>
      </c>
      <c r="F84" s="5" t="s">
        <v>135</v>
      </c>
      <c r="G84" s="3" t="s">
        <v>12</v>
      </c>
      <c r="H84" s="157">
        <f>IF($Y84="mobile",SUMIFS(Mobile_options!F:F,Mobile_options!$B:$B,$D84,Mobile_options!$E:$E,$G84),IF($Y84="nonpoint",SUMIFS(Nonpoint_options!F:F,Nonpoint_options!$B:$B,$D84,Nonpoint_options!$E:$E,$G84),SUMIFS(Point_options!F:F,Point_options!$B:$B,$D84,Point_options!$E:$E,$G84)))</f>
        <v>0.1</v>
      </c>
      <c r="I84" s="154">
        <f>IF($Y84="mobile",SUMIFS(Mobile_options!G:G,Mobile_options!$B:$B,$D84,Mobile_options!$E:$E,$G84),IF($Y84="nonpoint",SUMIFS(Nonpoint_options!G:G,Nonpoint_options!$B:$B,$D84,Nonpoint_options!$E:$E,$G84),SUMIFS(Point_options!G:G,Point_options!$B:$B,$D84,Point_options!$E:$E,$G84)))</f>
        <v>0.59663865546218486</v>
      </c>
      <c r="J84" s="158" t="str">
        <f>IF(Y84="mobile",VLOOKUP($D84&amp;$G84,Mobile_options!$X$1:$Y$150,2,FALSE),IF(Y84="nonpoint",VLOOKUP($D84&amp;$G84,Nonpoint_options!$W$1:$X$150,2,FALSE),VLOOKUP($D84&amp;$G84,Point_options!$U$1:$V$150,2,FALSE)))</f>
        <v>NA</v>
      </c>
      <c r="K84" s="159">
        <f>IF($Y84="mobile",SUMIFS(Mobile_options!I:I,Mobile_options!$B:$B,$D84,Mobile_options!$E:$E,$G84),IF($Y84="nonpoint",SUMIFS(Nonpoint_options!I:I,Nonpoint_options!$B:$B,$D84,Nonpoint_options!$E:$E,$G84),SUMIFS(Point_options!I:I,Point_options!$B:$B,$D84,Point_options!$E:$E,$G84)))</f>
        <v>0.12684493061661681</v>
      </c>
      <c r="L84" s="168">
        <f>IF($Y84="mobile",SUMIFS(Mobile_options!J:J,Mobile_options!$B:$B,$D84,Mobile_options!$E:$E,$G84),IF($Y84="nonpoint",SUMIFS(Nonpoint_options!J:J,Nonpoint_options!$B:$B,$D84,Nonpoint_options!$E:$E,$G84),SUMIFS(Point_options!J:J,Point_options!$B:$B,$D84,Point_options!$E:$E,$G84)))</f>
        <v>8114.96307508672</v>
      </c>
      <c r="M84" s="92" t="s">
        <v>250</v>
      </c>
      <c r="N84" s="92" t="s">
        <v>250</v>
      </c>
      <c r="O84" s="92" t="s">
        <v>250</v>
      </c>
      <c r="P84" s="92" t="s">
        <v>250</v>
      </c>
      <c r="Q84" s="92" t="s">
        <v>251</v>
      </c>
      <c r="R84" s="92" t="s">
        <v>251</v>
      </c>
      <c r="S84" s="52" t="str">
        <f>IF(ISNA(VLOOKUP($D84,Mobile_state_reductions!$B$4:$X$114,23,FALSE))=TRUE,"",VLOOKUP($D84,Mobile_state_reductions!$B$4:$X$114,23,FALSE))</f>
        <v/>
      </c>
      <c r="T84" s="52" t="str">
        <f t="shared" si="5"/>
        <v>NP - 83NOx</v>
      </c>
      <c r="U84" s="52">
        <f t="shared" si="6"/>
        <v>77</v>
      </c>
      <c r="V84" s="52" t="str">
        <f>IF(ISNA(VLOOKUP($D84,Nonpoint_state_reductions!$B$4:$X$108,23,FALSE))=TRUE,"",VLOOKUP($D84,Nonpoint_state_reductions!$B$4:$X$108,23,FALSE))</f>
        <v/>
      </c>
      <c r="W84" s="52" t="str">
        <f>IF(ISNA(VLOOKUP($D84,Point_state_reductions!$B$3:$X$117,23,FALSE)),"",VLOOKUP($D84,Point_state_reductions!$B$3:$X$117,23,FALSE))</f>
        <v/>
      </c>
      <c r="Y84" s="185" t="str">
        <f>VLOOKUP(D84,EmissRed_Shortlist!$D$8:$V$111,19,FALSE)</f>
        <v>nonpoint</v>
      </c>
      <c r="Z84" s="201">
        <f t="shared" si="8"/>
        <v>77</v>
      </c>
    </row>
    <row r="85" spans="1:26" ht="14.4" x14ac:dyDescent="0.3">
      <c r="A85" s="92">
        <v>78</v>
      </c>
      <c r="B85" s="92">
        <f>VLOOKUP(D85,EmissRed_Shortlist!$D$8:$W$87,20,FALSE)</f>
        <v>5</v>
      </c>
      <c r="C85" s="153" t="str">
        <f>VLOOKUP(D85,Shortlist_xref!$A$5:$C$77,2,FALSE)</f>
        <v>EmissRed</v>
      </c>
      <c r="D85" s="3" t="s">
        <v>134</v>
      </c>
      <c r="E85" s="5" t="s">
        <v>133</v>
      </c>
      <c r="F85" s="5" t="s">
        <v>135</v>
      </c>
      <c r="G85" s="3" t="s">
        <v>53</v>
      </c>
      <c r="H85" s="157">
        <f>IF($Y85="mobile",SUMIFS(Mobile_options!F:F,Mobile_options!$B:$B,$D85,Mobile_options!$E:$E,$G85),IF($Y85="nonpoint",SUMIFS(Nonpoint_options!F:F,Nonpoint_options!$B:$B,$D85,Nonpoint_options!$E:$E,$G85),SUMIFS(Point_options!F:F,Point_options!$B:$B,$D85,Point_options!$E:$E,$G85)))</f>
        <v>0.1</v>
      </c>
      <c r="I85" s="154">
        <f>IF($Y85="mobile",SUMIFS(Mobile_options!G:G,Mobile_options!$B:$B,$D85,Mobile_options!$E:$E,$G85),IF($Y85="nonpoint",SUMIFS(Nonpoint_options!G:G,Nonpoint_options!$B:$B,$D85,Nonpoint_options!$E:$E,$G85),SUMIFS(Point_options!G:G,Point_options!$B:$B,$D85,Point_options!$E:$E,$G85)))</f>
        <v>0.5955056179775281</v>
      </c>
      <c r="J85" s="158" t="str">
        <f>IF(Y85="mobile",VLOOKUP($D85&amp;$G85,Mobile_options!$X$1:$Y$150,2,FALSE),IF(Y85="nonpoint",VLOOKUP($D85&amp;$G85,Nonpoint_options!$W$1:$X$150,2,FALSE),VLOOKUP($D85&amp;$G85,Point_options!$U$1:$V$150,2,FALSE)))</f>
        <v>NA</v>
      </c>
      <c r="K85" s="159">
        <f>IF($Y85="mobile",SUMIFS(Mobile_options!I:I,Mobile_options!$B:$B,$D85,Mobile_options!$E:$E,$G85),IF($Y85="nonpoint",SUMIFS(Nonpoint_options!I:I,Nonpoint_options!$B:$B,$D85,Nonpoint_options!$E:$E,$G85),SUMIFS(Point_options!I:I,Point_options!$B:$B,$D85,Point_options!$E:$E,$G85)))</f>
        <v>8.4205163674629144E-2</v>
      </c>
      <c r="L85" s="168">
        <f>IF($Y85="mobile",SUMIFS(Mobile_options!J:J,Mobile_options!$B:$B,$D85,Mobile_options!$E:$E,$G85),IF($Y85="nonpoint",SUMIFS(Nonpoint_options!J:J,Nonpoint_options!$B:$B,$D85,Nonpoint_options!$E:$E,$G85),SUMIFS(Point_options!J:J,Point_options!$B:$B,$D85,Point_options!$E:$E,$G85)))</f>
        <v>7564.8244629226756</v>
      </c>
      <c r="M85" s="92" t="s">
        <v>250</v>
      </c>
      <c r="N85" s="92" t="s">
        <v>250</v>
      </c>
      <c r="O85" s="92" t="s">
        <v>250</v>
      </c>
      <c r="P85" s="92" t="s">
        <v>250</v>
      </c>
      <c r="Q85" s="92" t="s">
        <v>251</v>
      </c>
      <c r="R85" s="92" t="s">
        <v>251</v>
      </c>
      <c r="S85" s="52" t="str">
        <f>IF(ISNA(VLOOKUP($D85,Mobile_state_reductions!$B$4:$X$114,23,FALSE))=TRUE,"",VLOOKUP($D85,Mobile_state_reductions!$B$4:$X$114,23,FALSE))</f>
        <v/>
      </c>
      <c r="T85" s="52" t="str">
        <f t="shared" si="5"/>
        <v>NP - 83VOC</v>
      </c>
      <c r="U85" s="52">
        <f t="shared" si="6"/>
        <v>78</v>
      </c>
      <c r="V85" s="52" t="str">
        <f>IF(ISNA(VLOOKUP($D85,Nonpoint_state_reductions!$B$4:$X$108,23,FALSE))=TRUE,"",VLOOKUP($D85,Nonpoint_state_reductions!$B$4:$X$108,23,FALSE))</f>
        <v/>
      </c>
      <c r="W85" s="52" t="str">
        <f>IF(ISNA(VLOOKUP($D85,Point_state_reductions!$B$3:$X$117,23,FALSE)),"",VLOOKUP($D85,Point_state_reductions!$B$3:$X$117,23,FALSE))</f>
        <v/>
      </c>
      <c r="Y85" s="185" t="str">
        <f>VLOOKUP(D85,EmissRed_Shortlist!$D$8:$V$111,19,FALSE)</f>
        <v>nonpoint</v>
      </c>
      <c r="Z85" s="201">
        <f t="shared" si="8"/>
        <v>78</v>
      </c>
    </row>
    <row r="86" spans="1:26" ht="24.2" x14ac:dyDescent="0.3">
      <c r="A86" s="92">
        <v>79</v>
      </c>
      <c r="B86" s="92">
        <f>VLOOKUP(D86,EmissRed_Shortlist!$D$8:$W$87,20,FALSE)</f>
        <v>4</v>
      </c>
      <c r="C86" s="153" t="str">
        <f>VLOOKUP(D86,Shortlist_xref!$A$5:$C$77,2,FALSE)</f>
        <v>EmissRed</v>
      </c>
      <c r="D86" s="3" t="s">
        <v>136</v>
      </c>
      <c r="E86" s="5" t="s">
        <v>133</v>
      </c>
      <c r="F86" s="5" t="s">
        <v>137</v>
      </c>
      <c r="G86" s="3" t="s">
        <v>53</v>
      </c>
      <c r="H86" s="157">
        <f>IF($Y86="mobile",SUMIFS(Mobile_options!F:F,Mobile_options!$B:$B,$D86,Mobile_options!$E:$E,$G86),IF($Y86="nonpoint",SUMIFS(Nonpoint_options!F:F,Nonpoint_options!$B:$B,$D86,Nonpoint_options!$E:$E,$G86),SUMIFS(Point_options!F:F,Point_options!$B:$B,$D86,Point_options!$E:$E,$G86)))</f>
        <v>0.1</v>
      </c>
      <c r="I86" s="154">
        <f>IF($Y86="mobile",SUMIFS(Mobile_options!G:G,Mobile_options!$B:$B,$D86,Mobile_options!$E:$E,$G86),IF($Y86="nonpoint",SUMIFS(Nonpoint_options!G:G,Nonpoint_options!$B:$B,$D86,Nonpoint_options!$E:$E,$G86),SUMIFS(Point_options!G:G,Point_options!$B:$B,$D86,Point_options!$E:$E,$G86)))</f>
        <v>0.59701492537313428</v>
      </c>
      <c r="J86" s="158" t="str">
        <f>IF(Y86="mobile",VLOOKUP($D86&amp;$G86,Mobile_options!$X$1:$Y$150,2,FALSE),IF(Y86="nonpoint",VLOOKUP($D86&amp;$G86,Nonpoint_options!$W$1:$X$150,2,FALSE),VLOOKUP($D86&amp;$G86,Point_options!$U$1:$V$150,2,FALSE)))</f>
        <v>NA</v>
      </c>
      <c r="K86" s="159">
        <f>IF($Y86="mobile",SUMIFS(Mobile_options!I:I,Mobile_options!$B:$B,$D86,Mobile_options!$E:$E,$G86),IF($Y86="nonpoint",SUMIFS(Nonpoint_options!I:I,Nonpoint_options!$B:$B,$D86,Nonpoint_options!$E:$E,$G86),SUMIFS(Point_options!I:I,Point_options!$B:$B,$D86,Point_options!$E:$E,$G86)))</f>
        <v>8.4205163674629144E-2</v>
      </c>
      <c r="L86" s="168">
        <f>IF($Y86="mobile",SUMIFS(Mobile_options!J:J,Mobile_options!$B:$B,$D86,Mobile_options!$E:$E,$G86),IF($Y86="nonpoint",SUMIFS(Nonpoint_options!J:J,Nonpoint_options!$B:$B,$D86,Nonpoint_options!$E:$E,$G86),SUMIFS(Point_options!J:J,Point_options!$B:$B,$D86,Point_options!$E:$E,$G86)))</f>
        <v>7583.9974902857566</v>
      </c>
      <c r="M86" s="92" t="s">
        <v>250</v>
      </c>
      <c r="N86" s="92" t="s">
        <v>250</v>
      </c>
      <c r="O86" s="92" t="s">
        <v>250</v>
      </c>
      <c r="P86" s="92" t="s">
        <v>250</v>
      </c>
      <c r="Q86" s="92" t="s">
        <v>251</v>
      </c>
      <c r="R86" s="92" t="s">
        <v>251</v>
      </c>
      <c r="S86" s="52" t="str">
        <f>IF(ISNA(VLOOKUP($D86,Mobile_state_reductions!$B$4:$X$114,23,FALSE))=TRUE,"",VLOOKUP($D86,Mobile_state_reductions!$B$4:$X$114,23,FALSE))</f>
        <v/>
      </c>
      <c r="T86" s="52" t="str">
        <f t="shared" si="5"/>
        <v>NP - 84VOC</v>
      </c>
      <c r="V86" s="52" t="str">
        <f>IF(ISNA(VLOOKUP($D86,Nonpoint_state_reductions!$B$4:$X$108,23,FALSE))=TRUE,"",VLOOKUP($D86,Nonpoint_state_reductions!$B$4:$X$108,23,FALSE))</f>
        <v/>
      </c>
      <c r="W86" s="52" t="str">
        <f>IF(ISNA(VLOOKUP($D86,Point_state_reductions!$B$3:$X$117,23,FALSE)),"",VLOOKUP($D86,Point_state_reductions!$B$3:$X$117,23,FALSE))</f>
        <v/>
      </c>
      <c r="Y86" s="185" t="str">
        <f>VLOOKUP(D86,EmissRed_Shortlist!$D$8:$V$111,19,FALSE)</f>
        <v>nonpoint</v>
      </c>
      <c r="Z86" s="201">
        <f t="shared" si="8"/>
        <v>79</v>
      </c>
    </row>
    <row r="87" spans="1:26" ht="24.2" x14ac:dyDescent="0.3">
      <c r="A87" s="92">
        <v>80</v>
      </c>
      <c r="B87" s="92">
        <f>VLOOKUP(D87,EmissRed_Shortlist!$D$8:$W$87,20,FALSE)</f>
        <v>4</v>
      </c>
      <c r="C87" s="153" t="str">
        <f>VLOOKUP(D87,Shortlist_xref!$A$5:$C$77,2,FALSE)</f>
        <v>EmissRed</v>
      </c>
      <c r="D87" s="3" t="s">
        <v>136</v>
      </c>
      <c r="E87" s="5" t="s">
        <v>133</v>
      </c>
      <c r="F87" s="5" t="s">
        <v>137</v>
      </c>
      <c r="G87" s="3" t="s">
        <v>12</v>
      </c>
      <c r="H87" s="157">
        <f>IF($Y87="mobile",SUMIFS(Mobile_options!F:F,Mobile_options!$B:$B,$D87,Mobile_options!$E:$E,$G87),IF($Y87="nonpoint",SUMIFS(Nonpoint_options!F:F,Nonpoint_options!$B:$B,$D87,Nonpoint_options!$E:$E,$G87),SUMIFS(Point_options!F:F,Point_options!$B:$B,$D87,Point_options!$E:$E,$G87)))</f>
        <v>0.1</v>
      </c>
      <c r="I87" s="154">
        <f>IF($Y87="mobile",SUMIFS(Mobile_options!G:G,Mobile_options!$B:$B,$D87,Mobile_options!$E:$E,$G87),IF($Y87="nonpoint",SUMIFS(Nonpoint_options!G:G,Nonpoint_options!$B:$B,$D87,Nonpoint_options!$E:$E,$G87),SUMIFS(Point_options!G:G,Point_options!$B:$B,$D87,Point_options!$E:$E,$G87)))</f>
        <v>0.60139860139860135</v>
      </c>
      <c r="J87" s="158" t="str">
        <f>IF(Y87="mobile",VLOOKUP($D87&amp;$G87,Mobile_options!$X$1:$Y$150,2,FALSE),IF(Y87="nonpoint",VLOOKUP($D87&amp;$G87,Nonpoint_options!$W$1:$X$150,2,FALSE),VLOOKUP($D87&amp;$G87,Point_options!$U$1:$V$150,2,FALSE)))</f>
        <v>NA</v>
      </c>
      <c r="K87" s="159">
        <f>IF($Y87="mobile",SUMIFS(Mobile_options!I:I,Mobile_options!$B:$B,$D87,Mobile_options!$E:$E,$G87),IF($Y87="nonpoint",SUMIFS(Nonpoint_options!I:I,Nonpoint_options!$B:$B,$D87,Nonpoint_options!$E:$E,$G87),SUMIFS(Point_options!I:I,Point_options!$B:$B,$D87,Point_options!$E:$E,$G87)))</f>
        <v>0.12684493061661681</v>
      </c>
      <c r="L87" s="168">
        <f>IF($Y87="mobile",SUMIFS(Mobile_options!J:J,Mobile_options!$B:$B,$D87,Mobile_options!$E:$E,$G87),IF($Y87="nonpoint",SUMIFS(Nonpoint_options!J:J,Nonpoint_options!$B:$B,$D87,Nonpoint_options!$E:$E,$G87),SUMIFS(Point_options!J:J,Point_options!$B:$B,$D87,Point_options!$E:$E,$G87)))</f>
        <v>8179.7037437641575</v>
      </c>
      <c r="M87" s="92" t="s">
        <v>250</v>
      </c>
      <c r="N87" s="92" t="s">
        <v>250</v>
      </c>
      <c r="O87" s="92" t="s">
        <v>250</v>
      </c>
      <c r="P87" s="92" t="s">
        <v>250</v>
      </c>
      <c r="Q87" s="92" t="s">
        <v>251</v>
      </c>
      <c r="R87" s="92" t="s">
        <v>251</v>
      </c>
      <c r="S87" s="52" t="str">
        <f>IF(ISNA(VLOOKUP($D87,Mobile_state_reductions!$B$4:$X$114,23,FALSE))=TRUE,"",VLOOKUP($D87,Mobile_state_reductions!$B$4:$X$114,23,FALSE))</f>
        <v/>
      </c>
      <c r="T87" s="52" t="str">
        <f t="shared" si="5"/>
        <v>NP - 84NOx</v>
      </c>
      <c r="V87" s="52" t="str">
        <f>IF(ISNA(VLOOKUP($D87,Nonpoint_state_reductions!$B$4:$X$108,23,FALSE))=TRUE,"",VLOOKUP($D87,Nonpoint_state_reductions!$B$4:$X$108,23,FALSE))</f>
        <v/>
      </c>
      <c r="W87" s="52" t="str">
        <f>IF(ISNA(VLOOKUP($D87,Point_state_reductions!$B$3:$X$117,23,FALSE)),"",VLOOKUP($D87,Point_state_reductions!$B$3:$X$117,23,FALSE))</f>
        <v/>
      </c>
      <c r="Y87" s="185" t="str">
        <f>VLOOKUP(D87,EmissRed_Shortlist!$D$8:$V$111,19,FALSE)</f>
        <v>nonpoint</v>
      </c>
      <c r="Z87" s="201">
        <f t="shared" si="8"/>
        <v>80</v>
      </c>
    </row>
  </sheetData>
  <autoFilter ref="A7:U87" xr:uid="{28BD256F-94E0-4C4C-B969-653D62E3B8DA}"/>
  <mergeCells count="3">
    <mergeCell ref="M6:R6"/>
    <mergeCell ref="M5:R5"/>
    <mergeCell ref="A5:D6"/>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README</vt:lpstr>
      <vt:lpstr>Mobile_options</vt:lpstr>
      <vt:lpstr>Mobile_state_reductions</vt:lpstr>
      <vt:lpstr>Nonpoint_options</vt:lpstr>
      <vt:lpstr>Nonpoint_state_reductions</vt:lpstr>
      <vt:lpstr>Point_options</vt:lpstr>
      <vt:lpstr>Point_state_reductions</vt:lpstr>
      <vt:lpstr>EmissRed_Shortlist</vt:lpstr>
      <vt:lpstr>C-E_Shortlist</vt:lpstr>
      <vt:lpstr>Shortlist_xref</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John Grant</cp:lastModifiedBy>
  <dcterms:created xsi:type="dcterms:W3CDTF">2020-07-27T23:10:12Z</dcterms:created>
  <dcterms:modified xsi:type="dcterms:W3CDTF">2020-08-17T22:41:02Z</dcterms:modified>
</cp:coreProperties>
</file>